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Settings" state="visible" r:id="rId5"/>
    <sheet sheetId="3" name="Rates" state="visible" r:id="rId6"/>
    <sheet sheetId="4" name="Fee Calculator" state="visible" r:id="rId7"/>
    <sheet sheetId="5" name="Reverse Pricing" state="visible" r:id="rId8"/>
    <sheet sheetId="6" name="Summary" state="visible" r:id="rId9"/>
  </sheets>
  <calcPr calcId="171027"/>
</workbook>
</file>

<file path=xl/sharedStrings.xml><?xml version="1.0" encoding="utf-8"?>
<sst xmlns="http://schemas.openxmlformats.org/spreadsheetml/2006/main" count="309" uniqueCount="151">
  <si>
    <t>Etsy Fee Calculator — Multi-Country Template</t>
  </si>
  <si>
    <t>Free, formula-verified spreadsheet that mirrors etsyfeecalculatortool.com</t>
  </si>
  <si>
    <t>What this is</t>
  </si>
  <si>
    <t>This workbook calculates Etsy seller fees exactly like the website — listing fee ($0.20 USD per quantity), transaction fee (6.5% of order value), payment processing (country-specific), regulatory operating fee where enacted, VAT on fees where applicable, and offsite ads (15% / 12% capped at $100 USD). Changing the country on the Settings sheet instantly recalculates every product via VLOOKUP against the Rates table.</t>
  </si>
  <si>
    <t>How it stays accurate</t>
  </si>
  <si>
    <t>Rates verified 2026-08-01 against the official Etsy fee schedule: https://www.etsy.com/legal/fees/ and the Regulatory Operating Fee article: https://help.etsy.com/hc/en-us/articles/360000344908-Regulatory-Operating-Fee. The Rates sheet is the reference table done right — current and complete for all 10 launch countries, unlike stale third-party tables.</t>
  </si>
  <si>
    <t>This file's rates match etsyfeecalculatortool.com as of 2026-08-01. For live rates use the website calculator.</t>
  </si>
  <si>
    <t>How to use in Google Sheets</t>
  </si>
  <si>
    <t>Upload the .xlsx to Google Drive, then open with Google Sheets — or in Google Sheets go to File &gt; Import &gt; Upload and select the file. Data validation dropdowns, VLOOKUPs, conditional formatting and all formulas import cleanly. No email required, no separate file for Sheets.</t>
  </si>
  <si>
    <t>Quick start</t>
  </si>
  <si>
    <t>1. Go to the Settings sheet and pick your country from the dropdown (Settings!B2).</t>
  </si>
  <si>
    <t>2. Choose Domestic buyer or International buyer (Settings!B3) — this switches the processing rate for CA and AU.</t>
  </si>
  <si>
    <t>3. On Fee Calculator, fill product rows 2–51. Product type controls whether shipping is counted (Digital ignores shipping).</t>
  </si>
  <si>
    <t>4. Try the Reverse Pricing sheet: pick Target profit or Target margin, enter costs, and copy the recommended price back to Fee Calculator.</t>
  </si>
  <si>
    <t>5. Check the Summary dashboard for totals, monthly projection and the lowest-margin product callout.</t>
  </si>
  <si>
    <t>USD-billed fees</t>
  </si>
  <si>
    <t>Etsy bills two fees in USD regardless of country: the $0.20 listing fee and the $100 Offsite Ads cap. This workbook converts both into your country's currency with the indicative rate in Settings!B19 (looked up from the Rates sheet). Etsy applies its own invoice-time conversion, so local figures are approximate.</t>
  </si>
  <si>
    <t>Spotted a fee change?</t>
  </si>
  <si>
    <t>Etsy updates its fee schedule periodically. This file is a static snapshot as of 2026-08-01. For the freshest calculation always use the website calculator at https://etsyfeecalculatortool.com — it is updated first. If you spot a change, let us know and we will re-verify.</t>
  </si>
  <si>
    <t>Support &amp; source</t>
  </si>
  <si>
    <t>Website: https://etsyfeecalculatortool.com  ·  Official Etsy fees: https://www.etsy.com/legal/fees/</t>
  </si>
  <si>
    <t>Settings — choose your country and order type</t>
  </si>
  <si>
    <t>Country</t>
  </si>
  <si>
    <t>United States</t>
  </si>
  <si>
    <t>↔ auto-fills rates below</t>
  </si>
  <si>
    <t>Order type</t>
  </si>
  <si>
    <t>Domestic buyer</t>
  </si>
  <si>
    <t>CA &amp; AU have different intl rates</t>
  </si>
  <si>
    <t>Official rates (looked up from Rates) →  Override (leave blank to use official)  →  Effective rate used in formulas</t>
  </si>
  <si>
    <t>Transaction %</t>
  </si>
  <si>
    <t>→</t>
  </si>
  <si>
    <t>Processing domestic %</t>
  </si>
  <si>
    <t>Processing domestic flat</t>
  </si>
  <si>
    <t>Processing international %</t>
  </si>
  <si>
    <t>Processing international flat</t>
  </si>
  <si>
    <t>Regulatory %</t>
  </si>
  <si>
    <t>VAT on fees %</t>
  </si>
  <si>
    <t>Currency code</t>
  </si>
  <si>
    <t>Currency symbol</t>
  </si>
  <si>
    <t>Listing fee (USD)</t>
  </si>
  <si>
    <t>Offsite 15% tier</t>
  </si>
  <si>
    <t>Offsite 12% tier</t>
  </si>
  <si>
    <t>Offsite cap (USD)</t>
  </si>
  <si>
    <t>USD to local rate (indicative)</t>
  </si>
  <si>
    <t>≈</t>
  </si>
  <si>
    <t>Etsy bills USD fees in local currency at its own invoice-time rate.</t>
  </si>
  <si>
    <t>Leave override cells (column D) blank to use official rates. Type a number to experiment — Fee Calculator and Reverse sheets read only the blue Effective cells (column F).</t>
  </si>
  <si>
    <t>Code</t>
  </si>
  <si>
    <t>Currency</t>
  </si>
  <si>
    <t>Symbol</t>
  </si>
  <si>
    <t>Verified</t>
  </si>
  <si>
    <t>Source</t>
  </si>
  <si>
    <t>USD to local (indicative)</t>
  </si>
  <si>
    <t>US</t>
  </si>
  <si>
    <t>USD</t>
  </si>
  <si>
    <t>$</t>
  </si>
  <si>
    <t>2026-08-01</t>
  </si>
  <si>
    <t>https://www.etsy.com/legal/fees/</t>
  </si>
  <si>
    <t>United Kingdom</t>
  </si>
  <si>
    <t>UK</t>
  </si>
  <si>
    <t>GBP</t>
  </si>
  <si>
    <t>£</t>
  </si>
  <si>
    <t>Canada</t>
  </si>
  <si>
    <t>CA</t>
  </si>
  <si>
    <t>CAD</t>
  </si>
  <si>
    <t>Australia</t>
  </si>
  <si>
    <t>AU</t>
  </si>
  <si>
    <t>AUD</t>
  </si>
  <si>
    <t>India</t>
  </si>
  <si>
    <t>IN</t>
  </si>
  <si>
    <t>INR</t>
  </si>
  <si>
    <t>₹</t>
  </si>
  <si>
    <t>Germany</t>
  </si>
  <si>
    <t>DE</t>
  </si>
  <si>
    <t>EUR</t>
  </si>
  <si>
    <t>€</t>
  </si>
  <si>
    <t>France</t>
  </si>
  <si>
    <t>FR</t>
  </si>
  <si>
    <t>Italy</t>
  </si>
  <si>
    <t>IT</t>
  </si>
  <si>
    <t>Spain</t>
  </si>
  <si>
    <t>ES</t>
  </si>
  <si>
    <t>Turkiye</t>
  </si>
  <si>
    <t>TR</t>
  </si>
  <si>
    <t>TRY</t>
  </si>
  <si>
    <t>₺</t>
  </si>
  <si>
    <t>#</t>
  </si>
  <si>
    <t>Product name</t>
  </si>
  <si>
    <t>Product type</t>
  </si>
  <si>
    <t>Quantity</t>
  </si>
  <si>
    <t>Sale price</t>
  </si>
  <si>
    <t>Shipping charged</t>
  </si>
  <si>
    <t>Gift wrap charged</t>
  </si>
  <si>
    <t>Discount %</t>
  </si>
  <si>
    <t>Item cost</t>
  </si>
  <si>
    <t>Your shipping cost</t>
  </si>
  <si>
    <t>Offsite ads</t>
  </si>
  <si>
    <t>Listing fee</t>
  </si>
  <si>
    <t>Transaction fee</t>
  </si>
  <si>
    <t>Processing fee</t>
  </si>
  <si>
    <t>Regulatory fee</t>
  </si>
  <si>
    <t>VAT on fees</t>
  </si>
  <si>
    <t>Offsite ads fee</t>
  </si>
  <si>
    <t>Total fees</t>
  </si>
  <si>
    <t>Revenue</t>
  </si>
  <si>
    <t>Net profit</t>
  </si>
  <si>
    <t>Net margin</t>
  </si>
  <si>
    <t>Example Mug</t>
  </si>
  <si>
    <t>Physical</t>
  </si>
  <si>
    <t>No</t>
  </si>
  <si>
    <t>Example Print</t>
  </si>
  <si>
    <t>Reverse Pricing — find the list price for a target profit or margin</t>
  </si>
  <si>
    <t>Target type</t>
  </si>
  <si>
    <t>Target profit</t>
  </si>
  <si>
    <t>profit $ or margin %</t>
  </si>
  <si>
    <t>Target value</t>
  </si>
  <si>
    <t>e.g., 10 for $10 or 25 for 25%</t>
  </si>
  <si>
    <t>Results — copy the recommended price back to Fee Calculator to verify within $0.01</t>
  </si>
  <si>
    <t>Recommended list price</t>
  </si>
  <si>
    <t>Break-even price</t>
  </si>
  <si>
    <t>Margin at recommended</t>
  </si>
  <si>
    <t>Goal-seek table — 20 iterations of binary search. The blue Recommended price above equals the final Mid (D35) within $0.01.</t>
  </si>
  <si>
    <t>Iter</t>
  </si>
  <si>
    <t>Low</t>
  </si>
  <si>
    <t>High</t>
  </si>
  <si>
    <t>Mid (price)</t>
  </si>
  <si>
    <t>Order value</t>
  </si>
  <si>
    <t>Profit</t>
  </si>
  <si>
    <t>Error vs target</t>
  </si>
  <si>
    <t>Summary Dashboard — totals across all products</t>
  </si>
  <si>
    <t>Totals (from Fee Calculator)</t>
  </si>
  <si>
    <t>Total revenue</t>
  </si>
  <si>
    <t>Total listing fees</t>
  </si>
  <si>
    <t>Total transaction fees</t>
  </si>
  <si>
    <t>Total processing fees</t>
  </si>
  <si>
    <t>Total regulatory fees</t>
  </si>
  <si>
    <t>Total VAT on fees</t>
  </si>
  <si>
    <t>Total offsite ads fees</t>
  </si>
  <si>
    <t>Total Etsy fees</t>
  </si>
  <si>
    <t>Total profit</t>
  </si>
  <si>
    <t>Average margin</t>
  </si>
  <si>
    <t>Count of products</t>
  </si>
  <si>
    <t>Monthly projection</t>
  </si>
  <si>
    <t>Est. monthly sales (units)</t>
  </si>
  <si>
    <t>edit this — yellow cell</t>
  </si>
  <si>
    <t>Monthly fee total</t>
  </si>
  <si>
    <t>Annual fee total</t>
  </si>
  <si>
    <t>Lowest-margin product</t>
  </si>
  <si>
    <t>Product</t>
  </si>
  <si>
    <t>Margin</t>
  </si>
  <si>
    <t>Tip: Change one rate in the Rates sheet — every total above updates because Settings uses VLOOKUP.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</si>
</sst>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color theme="1"/>
      <family val="2"/>
      <scheme val="minor"/>
      <sz val="11"/>
      <name val="Calibri"/>
    </font>
    <font>
      <b/>
      <color rgb="FF000000"/>
      <sz val="16"/>
      <name val="Inter"/>
    </font>
    <font>
      <i/>
      <color rgb="FF615D59"/>
      <sz val="10"/>
      <name val="Inter"/>
    </font>
    <font>
      <b/>
      <color rgb="FF000000"/>
      <sz val="12"/>
      <name val="Inter"/>
    </font>
    <font>
      <color rgb="FF31302E"/>
      <sz val="10"/>
      <name val="Inter"/>
    </font>
    <font>
      <b/>
      <color rgb="FF0075DE"/>
      <sz val="10"/>
      <name val="Inter"/>
    </font>
    <font>
      <color rgb="FF0075DE"/>
      <sz val="10"/>
      <name val="Inter"/>
    </font>
    <font>
      <b/>
      <color rgb="FF000000"/>
      <sz val="14"/>
      <name val="Inter"/>
    </font>
    <font>
      <b/>
      <color rgb="FF31302E"/>
      <sz val="10"/>
      <name val="Inter"/>
    </font>
    <font>
      <color rgb="FF615D59"/>
      <sz val="9"/>
      <name val="Inter"/>
    </font>
    <font>
      <i/>
      <color rgb="FF615D59"/>
      <sz val="9"/>
      <name val="Inter"/>
    </font>
    <font>
      <b/>
      <color rgb="FF000000"/>
      <sz val="11"/>
      <name val="Inter"/>
    </font>
    <font>
      <b/>
      <color rgb="FF1AAE39"/>
      <sz val="10"/>
      <name val="Inter"/>
    </font>
  </fonts>
  <fills count="7">
    <fill>
      <patternFill patternType="none"/>
    </fill>
    <fill>
      <patternFill patternType="gray125"/>
    </fill>
    <fill>
      <patternFill patternType="solid">
        <fgColor rgb="FFE3F2FD"/>
      </patternFill>
    </fill>
    <fill>
      <patternFill patternType="solid">
        <fgColor rgb="FFFFFFFF"/>
      </patternFill>
    </fill>
    <fill>
      <patternFill patternType="solid">
        <fgColor rgb="FFF6F5F4"/>
      </patternFill>
    </fill>
    <fill>
      <patternFill patternType="solid">
        <fgColor rgb="FFFFF8E1"/>
      </patternFill>
    </fill>
    <fill>
      <patternFill patternType="solid">
        <fgColor rgb="FFFDFCFC"/>
      </patternFill>
    </fill>
  </fills>
  <borders count="2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3" borderId="1" xfId="0" applyFont="1" applyFill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4" fillId="4" borderId="1" xfId="0" applyNumberFormat="1" applyFont="1" applyFill="1" applyBorder="1"/>
    <xf numFmtId="0" fontId="0" fillId="0" borderId="0" xfId="0" applyAlignment="1">
      <alignment horizontal="center"/>
    </xf>
    <xf numFmtId="10" fontId="4" fillId="5" borderId="1" xfId="0" applyNumberFormat="1" applyFont="1" applyFill="1" applyBorder="1"/>
    <xf numFmtId="10" fontId="8" fillId="2" borderId="1" xfId="0" applyNumberFormat="1" applyFont="1" applyFill="1" applyBorder="1"/>
    <xf numFmtId="0" fontId="4" fillId="0" borderId="0" xfId="0" applyFont="1" applyAlignment="1">
      <alignment horizontal="center"/>
    </xf>
    <xf numFmtId="4" fontId="4" fillId="4" borderId="1" xfId="0" applyNumberFormat="1" applyFont="1" applyFill="1" applyBorder="1"/>
    <xf numFmtId="4" fontId="4" fillId="5" borderId="1" xfId="0" applyNumberFormat="1" applyFont="1" applyFill="1" applyBorder="1"/>
    <xf numFmtId="4" fontId="8" fillId="2" borderId="1" xfId="0" applyNumberFormat="1" applyFont="1" applyFill="1" applyBorder="1"/>
    <xf numFmtId="0" fontId="8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vertical="center"/>
    </xf>
    <xf numFmtId="0" fontId="4" fillId="6" borderId="1" xfId="0" applyFont="1" applyFill="1" applyBorder="1" applyAlignment="1">
      <alignment vertical="center"/>
    </xf>
    <xf numFmtId="10" fontId="4" fillId="6" borderId="1" xfId="0" applyNumberFormat="1" applyFont="1" applyFill="1" applyBorder="1" applyAlignment="1">
      <alignment vertical="center"/>
    </xf>
    <xf numFmtId="4" fontId="4" fillId="6" borderId="1" xfId="0" applyNumberFormat="1" applyFont="1" applyFill="1" applyBorder="1" applyAlignment="1">
      <alignment vertical="center"/>
    </xf>
    <xf numFmtId="10" fontId="4" fillId="6" borderId="0" xfId="0" applyNumberFormat="1" applyFont="1" applyFill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0" fontId="4" fillId="0" borderId="0" xfId="0" applyNumberFormat="1" applyFont="1" applyAlignment="1">
      <alignment vertical="center"/>
    </xf>
    <xf numFmtId="0" fontId="0" fillId="6" borderId="0" xfId="0" applyFill="1"/>
    <xf numFmtId="0" fontId="9" fillId="6" borderId="1" xfId="0" applyFont="1" applyFill="1" applyBorder="1" applyAlignment="1">
      <alignment horizontal="center"/>
    </xf>
    <xf numFmtId="1" fontId="4" fillId="6" borderId="1" xfId="0" applyNumberFormat="1" applyFont="1" applyFill="1" applyBorder="1" applyAlignment="1">
      <alignment vertical="center"/>
    </xf>
    <xf numFmtId="4" fontId="4" fillId="6" borderId="1" xfId="0" applyNumberFormat="1" applyFont="1" applyFill="1" applyBorder="1"/>
    <xf numFmtId="4" fontId="8" fillId="6" borderId="1" xfId="0" applyNumberFormat="1" applyFont="1" applyFill="1" applyBorder="1"/>
    <xf numFmtId="10" fontId="4" fillId="6" borderId="1" xfId="0" applyNumberFormat="1" applyFont="1" applyFill="1" applyBorder="1"/>
    <xf numFmtId="0" fontId="9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/>
    <xf numFmtId="4" fontId="8" fillId="0" borderId="1" xfId="0" applyNumberFormat="1" applyFont="1" applyBorder="1"/>
    <xf numFmtId="10" fontId="4" fillId="0" borderId="1" xfId="0" applyNumberFormat="1" applyFont="1" applyBorder="1"/>
    <xf numFmtId="1" fontId="4" fillId="0" borderId="1" xfId="0" applyNumberFormat="1" applyFont="1" applyBorder="1"/>
    <xf numFmtId="4" fontId="5" fillId="2" borderId="1" xfId="0" applyNumberFormat="1" applyFont="1" applyFill="1" applyBorder="1"/>
    <xf numFmtId="4" fontId="9" fillId="0" borderId="1" xfId="0" applyNumberFormat="1" applyFont="1" applyBorder="1"/>
    <xf numFmtId="0" fontId="12" fillId="0" borderId="0" xfId="0" applyFont="1"/>
    <xf numFmtId="0" fontId="11" fillId="0" borderId="0" xfId="0" applyFont="1" applyAlignment="1">
      <alignment vertical="center"/>
    </xf>
    <xf numFmtId="4" fontId="4" fillId="3" borderId="1" xfId="0" applyNumberFormat="1" applyFont="1" applyFill="1" applyBorder="1"/>
    <xf numFmtId="10" fontId="4" fillId="3" borderId="1" xfId="0" applyNumberFormat="1" applyFont="1" applyFill="1" applyBorder="1"/>
    <xf numFmtId="1" fontId="4" fillId="3" borderId="1" xfId="0" applyNumberFormat="1" applyFont="1" applyFill="1" applyBorder="1"/>
    <xf numFmtId="1" fontId="4" fillId="5" borderId="1" xfId="0" applyNumberFormat="1" applyFont="1" applyFill="1" applyBorder="1"/>
    <xf numFmtId="0" fontId="9" fillId="0" borderId="0" xfId="0" applyFont="1"/>
    <xf numFmtId="0" fontId="8" fillId="3" borderId="1" xfId="0" applyFont="1" applyFill="1" applyBorder="1"/>
  </cellXfs>
  <cellStyles count="1">
    <cellStyle name="Normal" xfId="0" builtinId="0"/>
  </cellStyles>
  <dxfs count="2">
    <dxf>
      <font>
        <color rgb="FFC62828"/>
      </font>
      <fill>
        <patternFill patternType="solid">
          <bgColor rgb="FFFFEBEE"/>
        </patternFill>
      </fill>
    </dxf>
    <dxf>
      <font>
        <color rgb="FFC62828"/>
      </font>
      <fill>
        <patternFill patternType="solid">
          <bgColor rgb="FFFFEB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9EFF"/>
  </sheetPr>
  <dimension ref="A1:A30"/>
  <sheetFormatPr defaultRowHeight="15" outlineLevelRow="0" outlineLevelCol="0" x14ac:dyDescent="55"/>
  <cols>
    <col min="1" max="1" width="90" customWidth="1"/>
  </cols>
  <sheetData>
    <row r="1" ht="24" customHeight="1" spans="1:1" x14ac:dyDescent="0.25">
      <c r="A1" s="1" t="s">
        <v>0</v>
      </c>
    </row>
    <row r="2" ht="15" customHeight="1" spans="1:1" x14ac:dyDescent="0.25">
      <c r="A2" s="2" t="s">
        <v>1</v>
      </c>
    </row>
    <row r="3" ht="15" customHeight="1" spans="1:1" x14ac:dyDescent="0.25">
      <c r="A3" s="3"/>
    </row>
    <row r="4" ht="15" customHeight="1" spans="1:1" x14ac:dyDescent="0.25">
      <c r="A4" s="4" t="s">
        <v>2</v>
      </c>
    </row>
    <row r="5" ht="15" customHeight="1" spans="1:1" x14ac:dyDescent="0.25">
      <c r="A5" s="5" t="s">
        <v>3</v>
      </c>
    </row>
    <row r="6" ht="15" customHeight="1" spans="1:1" x14ac:dyDescent="0.25">
      <c r="A6" s="3"/>
    </row>
    <row r="7" ht="15" customHeight="1" spans="1:1" x14ac:dyDescent="0.25">
      <c r="A7" s="4" t="s">
        <v>4</v>
      </c>
    </row>
    <row r="8" ht="15" customHeight="1" spans="1:1" x14ac:dyDescent="0.25">
      <c r="A8" s="5" t="s">
        <v>5</v>
      </c>
    </row>
    <row r="9" ht="15" customHeight="1" spans="1:1" x14ac:dyDescent="0.25">
      <c r="A9" s="3"/>
    </row>
    <row r="10" ht="28" customHeight="1" spans="1:1" x14ac:dyDescent="0.25">
      <c r="A10" s="6" t="s">
        <v>6</v>
      </c>
    </row>
    <row r="11" ht="15" customHeight="1" spans="1:1" x14ac:dyDescent="0.25">
      <c r="A11" s="3"/>
    </row>
    <row r="12" ht="15" customHeight="1" spans="1:1" x14ac:dyDescent="0.25">
      <c r="A12" s="4" t="s">
        <v>7</v>
      </c>
    </row>
    <row r="13" ht="15" customHeight="1" spans="1:1" x14ac:dyDescent="0.25">
      <c r="A13" s="5" t="s">
        <v>8</v>
      </c>
    </row>
    <row r="14" ht="15" customHeight="1" spans="1:1" x14ac:dyDescent="0.25">
      <c r="A14" s="3"/>
    </row>
    <row r="15" ht="15" customHeight="1" spans="1:1" x14ac:dyDescent="0.25">
      <c r="A15" s="4" t="s">
        <v>9</v>
      </c>
    </row>
    <row r="16" ht="15" customHeight="1" spans="1:1" x14ac:dyDescent="0.25">
      <c r="A16" s="5" t="s">
        <v>10</v>
      </c>
    </row>
    <row r="17" ht="15" customHeight="1" spans="1:1" x14ac:dyDescent="0.25">
      <c r="A17" s="5" t="s">
        <v>11</v>
      </c>
    </row>
    <row r="18" ht="15" customHeight="1" spans="1:1" x14ac:dyDescent="0.25">
      <c r="A18" s="5" t="s">
        <v>12</v>
      </c>
    </row>
    <row r="19" ht="15" customHeight="1" spans="1:1" x14ac:dyDescent="0.25">
      <c r="A19" s="5" t="s">
        <v>13</v>
      </c>
    </row>
    <row r="20" ht="15" customHeight="1" spans="1:1" x14ac:dyDescent="0.25">
      <c r="A20" s="5" t="s">
        <v>14</v>
      </c>
    </row>
    <row r="21" ht="15" customHeight="1" spans="1:1" x14ac:dyDescent="0.25">
      <c r="A21" s="3"/>
    </row>
    <row r="22" ht="15" customHeight="1" spans="1:1" x14ac:dyDescent="0.25">
      <c r="A22" s="4" t="s">
        <v>15</v>
      </c>
    </row>
    <row r="23" ht="15" customHeight="1" spans="1:1" x14ac:dyDescent="0.25">
      <c r="A23" s="5" t="s">
        <v>16</v>
      </c>
    </row>
    <row r="24" ht="15" customHeight="1" spans="1:1" x14ac:dyDescent="0.25">
      <c r="A24" s="3"/>
    </row>
    <row r="25" ht="15" customHeight="1" spans="1:1" x14ac:dyDescent="0.25">
      <c r="A25" s="4" t="s">
        <v>17</v>
      </c>
    </row>
    <row r="26" ht="15" customHeight="1" spans="1:1" x14ac:dyDescent="0.25">
      <c r="A26" s="5" t="s">
        <v>18</v>
      </c>
    </row>
    <row r="27" ht="15" customHeight="1" spans="1:1" x14ac:dyDescent="0.25">
      <c r="A27" s="3"/>
    </row>
    <row r="28" ht="15" customHeight="1" spans="1:1" x14ac:dyDescent="0.25">
      <c r="A28" s="4" t="s">
        <v>19</v>
      </c>
    </row>
    <row r="29" ht="15" customHeight="1" spans="1:1" x14ac:dyDescent="0.25">
      <c r="A29" s="7" t="s">
        <v>20</v>
      </c>
    </row>
    <row r="30" ht="15" customHeight="1" spans="1:1" x14ac:dyDescent="0.25">
      <c r="A30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13183"/>
  </sheetPr>
  <dimension ref="A1:F2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0" customWidth="1"/>
    <col min="3" max="3" width="14" customWidth="1"/>
    <col min="4" max="4" width="20" customWidth="1"/>
    <col min="5" max="5" width="14" customWidth="1"/>
    <col min="6" max="6" width="20" customWidth="1"/>
  </cols>
  <sheetData>
    <row r="1" ht="24" customHeight="1" spans="1:6" x14ac:dyDescent="0.25">
      <c r="A1" s="8" t="s">
        <v>21</v>
      </c>
      <c r="B1" s="8"/>
      <c r="C1" s="8"/>
      <c r="D1" s="8"/>
      <c r="E1" s="8"/>
      <c r="F1" s="8"/>
    </row>
    <row r="2" spans="1:3" x14ac:dyDescent="0.25">
      <c r="A2" s="9" t="s">
        <v>22</v>
      </c>
      <c r="B2" s="10" t="s">
        <v>23</v>
      </c>
      <c r="C2" s="11" t="s">
        <v>24</v>
      </c>
    </row>
    <row r="3" spans="1:3" x14ac:dyDescent="0.25">
      <c r="A3" s="9" t="s">
        <v>25</v>
      </c>
      <c r="B3" s="10" t="s">
        <v>26</v>
      </c>
      <c r="C3" s="11" t="s">
        <v>27</v>
      </c>
    </row>
    <row r="4" ht="18" customHeight="1" spans="1:6" x14ac:dyDescent="0.25">
      <c r="A4" s="12" t="s">
        <v>28</v>
      </c>
      <c r="B4" s="12"/>
      <c r="C4" s="12"/>
      <c r="D4" s="12"/>
      <c r="E4" s="12"/>
      <c r="F4" s="12"/>
    </row>
    <row r="6" ht="18" customHeight="1" spans="1:6" x14ac:dyDescent="0.25">
      <c r="A6" s="13" t="s">
        <v>29</v>
      </c>
      <c r="B6" s="14">
        <v>0.065</v>
      </c>
      <c r="C6" s="15" t="s">
        <v>30</v>
      </c>
      <c r="D6" s="16"/>
      <c r="E6" s="15" t="s">
        <v>30</v>
      </c>
      <c r="F6" s="17">
        <f>IF(D6="",B6,D6)</f>
      </c>
    </row>
    <row r="7" ht="18" customHeight="1" spans="1:6" x14ac:dyDescent="0.25">
      <c r="A7" s="13" t="s">
        <v>31</v>
      </c>
      <c r="B7" s="14">
        <f>VLOOKUP($B$2,Rates!$A$2:$L$11,3,FALSE)</f>
      </c>
      <c r="C7" s="18" t="s">
        <v>30</v>
      </c>
      <c r="D7" s="16"/>
      <c r="E7" s="18" t="s">
        <v>30</v>
      </c>
      <c r="F7" s="17">
        <f>IF(D7="",B7,D7)</f>
      </c>
    </row>
    <row r="8" ht="18" customHeight="1" spans="1:6" x14ac:dyDescent="0.25">
      <c r="A8" s="13" t="s">
        <v>32</v>
      </c>
      <c r="B8" s="19">
        <f>VLOOKUP($B$2,Rates!$A$2:$L$11,4,FALSE)</f>
      </c>
      <c r="C8" s="18" t="s">
        <v>30</v>
      </c>
      <c r="D8" s="20"/>
      <c r="E8" s="18" t="s">
        <v>30</v>
      </c>
      <c r="F8" s="21">
        <f>IF(D8="",B8,D8)</f>
      </c>
    </row>
    <row r="9" ht="18" customHeight="1" spans="1:6" x14ac:dyDescent="0.25">
      <c r="A9" s="13" t="s">
        <v>33</v>
      </c>
      <c r="B9" s="14">
        <f>VLOOKUP($B$2,Rates!$A$2:$L$11,5,FALSE)</f>
      </c>
      <c r="C9" s="18" t="s">
        <v>30</v>
      </c>
      <c r="D9" s="16"/>
      <c r="E9" s="18" t="s">
        <v>30</v>
      </c>
      <c r="F9" s="17">
        <f>IF(D9="",B9,D9)</f>
      </c>
    </row>
    <row r="10" ht="18" customHeight="1" spans="1:6" x14ac:dyDescent="0.25">
      <c r="A10" s="13" t="s">
        <v>34</v>
      </c>
      <c r="B10" s="19">
        <f>VLOOKUP($B$2,Rates!$A$2:$L$11,6,FALSE)</f>
      </c>
      <c r="C10" s="18" t="s">
        <v>30</v>
      </c>
      <c r="D10" s="20"/>
      <c r="E10" s="18" t="s">
        <v>30</v>
      </c>
      <c r="F10" s="21">
        <f>IF(D10="",B10,D10)</f>
      </c>
    </row>
    <row r="11" ht="18" customHeight="1" spans="1:6" x14ac:dyDescent="0.25">
      <c r="A11" s="13" t="s">
        <v>35</v>
      </c>
      <c r="B11" s="14">
        <f>IFERROR(VLOOKUP($B$2,Rates!$A$2:$L$11,7,FALSE),"")</f>
      </c>
      <c r="C11" s="18" t="s">
        <v>30</v>
      </c>
      <c r="D11" s="16"/>
      <c r="E11" s="18" t="s">
        <v>30</v>
      </c>
      <c r="F11" s="17">
        <f>IF(D11="",B11,D11)</f>
      </c>
    </row>
    <row r="12" ht="18" customHeight="1" spans="1:6" x14ac:dyDescent="0.25">
      <c r="A12" s="13" t="s">
        <v>36</v>
      </c>
      <c r="B12" s="14">
        <f>IFERROR(VLOOKUP($B$2,Rates!$A$2:$L$11,8,FALSE),"")</f>
      </c>
      <c r="C12" s="18" t="s">
        <v>30</v>
      </c>
      <c r="D12" s="16"/>
      <c r="E12" s="18" t="s">
        <v>30</v>
      </c>
      <c r="F12" s="17">
        <f>IF(D12="",B12,D12)</f>
      </c>
    </row>
    <row r="13" ht="18" customHeight="1" spans="1:2" x14ac:dyDescent="0.25">
      <c r="A13" s="13" t="s">
        <v>37</v>
      </c>
      <c r="B13" s="22">
        <f>VLOOKUP($B$2,Rates!$A$2:$L$11,9,FALSE)</f>
      </c>
    </row>
    <row r="14" ht="18" customHeight="1" spans="1:2" x14ac:dyDescent="0.25">
      <c r="A14" s="13" t="s">
        <v>38</v>
      </c>
      <c r="B14" s="22">
        <f>VLOOKUP($B$2,Rates!$A$2:$L$11,10,FALSE)</f>
      </c>
    </row>
    <row r="15" ht="18" customHeight="1" spans="1:6" x14ac:dyDescent="0.25">
      <c r="A15" s="13" t="s">
        <v>39</v>
      </c>
      <c r="B15" s="19">
        <v>0.2</v>
      </c>
      <c r="C15" s="18" t="s">
        <v>30</v>
      </c>
      <c r="D15" s="20"/>
      <c r="E15" s="18" t="s">
        <v>30</v>
      </c>
      <c r="F15" s="21">
        <f>IF(D15="",B15,D15)</f>
      </c>
    </row>
    <row r="16" ht="18" customHeight="1" spans="1:6" x14ac:dyDescent="0.25">
      <c r="A16" s="13" t="s">
        <v>40</v>
      </c>
      <c r="B16" s="14">
        <v>0.15</v>
      </c>
      <c r="C16" s="18" t="s">
        <v>30</v>
      </c>
      <c r="D16" s="16"/>
      <c r="E16" s="18" t="s">
        <v>30</v>
      </c>
      <c r="F16" s="17">
        <f>IF(D16="",B16,D16)</f>
      </c>
    </row>
    <row r="17" ht="18" customHeight="1" spans="1:6" x14ac:dyDescent="0.25">
      <c r="A17" s="13" t="s">
        <v>41</v>
      </c>
      <c r="B17" s="14">
        <v>0.12</v>
      </c>
      <c r="C17" s="18" t="s">
        <v>30</v>
      </c>
      <c r="D17" s="16"/>
      <c r="E17" s="18" t="s">
        <v>30</v>
      </c>
      <c r="F17" s="17">
        <f>IF(D17="",B17,D17)</f>
      </c>
    </row>
    <row r="18" ht="18" customHeight="1" spans="1:6" x14ac:dyDescent="0.25">
      <c r="A18" s="13" t="s">
        <v>42</v>
      </c>
      <c r="B18" s="19">
        <v>100</v>
      </c>
      <c r="C18" s="18" t="s">
        <v>30</v>
      </c>
      <c r="D18" s="20"/>
      <c r="E18" s="18" t="s">
        <v>30</v>
      </c>
      <c r="F18" s="21">
        <f>IF(D18="",B18,D18)</f>
      </c>
    </row>
    <row r="19" ht="18" customHeight="1" spans="1:4" x14ac:dyDescent="0.25">
      <c r="A19" s="13" t="s">
        <v>43</v>
      </c>
      <c r="B19" s="23">
        <f>VLOOKUP($B$2,Rates!$A$2:$M$11,13,FALSE)</f>
      </c>
      <c r="C19" s="24" t="s">
        <v>44</v>
      </c>
      <c r="D19" s="25" t="s">
        <v>45</v>
      </c>
    </row>
    <row r="21" ht="30" customHeight="1" spans="1:6" x14ac:dyDescent="0.25">
      <c r="A21" s="26" t="s">
        <v>46</v>
      </c>
      <c r="B21" s="26"/>
      <c r="C21" s="26"/>
      <c r="D21" s="26"/>
      <c r="E21" s="26"/>
      <c r="F21" s="26"/>
    </row>
  </sheetData>
  <mergeCells count="3">
    <mergeCell ref="A1:F1"/>
    <mergeCell ref="A4:F4"/>
    <mergeCell ref="A21:F21"/>
  </mergeCells>
  <dataValidations count="2">
    <dataValidation type="list" showErrorMessage="1" errorTitle="Pick a country" error="Choose from the 10 launch countries." sqref="B2">
      <formula1>Rates!$A$2:$A$11</formula1>
    </dataValidation>
    <dataValidation type="list" sqref="B3">
      <formula1>"Domestic buyer,International buyer"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5DE"/>
  </sheetPr>
  <dimension ref="A1:M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6" customWidth="1"/>
    <col min="3" max="6" width="18" customWidth="1"/>
    <col min="7" max="8" width="14" customWidth="1"/>
    <col min="9" max="9" width="10" customWidth="1"/>
    <col min="10" max="10" width="8" customWidth="1"/>
    <col min="11" max="11" width="12" customWidth="1"/>
    <col min="12" max="12" width="32" customWidth="1"/>
    <col min="13" max="13" width="16" customWidth="1"/>
  </cols>
  <sheetData>
    <row r="1" ht="28" customHeight="1" spans="1:13" s="27" customFormat="1" x14ac:dyDescent="0.25">
      <c r="A1" s="28" t="s">
        <v>22</v>
      </c>
      <c r="B1" s="28" t="s">
        <v>47</v>
      </c>
      <c r="C1" s="28" t="s">
        <v>31</v>
      </c>
      <c r="D1" s="28" t="s">
        <v>32</v>
      </c>
      <c r="E1" s="28" t="s">
        <v>33</v>
      </c>
      <c r="F1" s="28" t="s">
        <v>34</v>
      </c>
      <c r="G1" s="28" t="s">
        <v>35</v>
      </c>
      <c r="H1" s="28" t="s">
        <v>36</v>
      </c>
      <c r="I1" s="28" t="s">
        <v>48</v>
      </c>
      <c r="J1" s="28" t="s">
        <v>49</v>
      </c>
      <c r="K1" s="28" t="s">
        <v>50</v>
      </c>
      <c r="L1" s="28" t="s">
        <v>51</v>
      </c>
      <c r="M1" s="28" t="s">
        <v>52</v>
      </c>
    </row>
    <row r="2" spans="1:13" s="29" customFormat="1" x14ac:dyDescent="0.25">
      <c r="A2" s="30" t="s">
        <v>23</v>
      </c>
      <c r="B2" s="30" t="s">
        <v>53</v>
      </c>
      <c r="C2" s="31">
        <v>0.03</v>
      </c>
      <c r="D2" s="32">
        <v>0.25</v>
      </c>
      <c r="E2" s="31">
        <v>0.03</v>
      </c>
      <c r="F2" s="32">
        <v>0.25</v>
      </c>
      <c r="G2" s="33"/>
      <c r="H2" s="33"/>
      <c r="I2" s="30" t="s">
        <v>54</v>
      </c>
      <c r="J2" s="30" t="s">
        <v>55</v>
      </c>
      <c r="K2" s="30" t="s">
        <v>56</v>
      </c>
      <c r="L2" s="30" t="s">
        <v>57</v>
      </c>
      <c r="M2" s="34">
        <v>1</v>
      </c>
    </row>
    <row r="3" spans="1:13" s="13" customFormat="1" x14ac:dyDescent="0.25">
      <c r="A3" s="35" t="s">
        <v>58</v>
      </c>
      <c r="B3" s="35" t="s">
        <v>59</v>
      </c>
      <c r="C3" s="36">
        <v>0.04</v>
      </c>
      <c r="D3" s="37">
        <v>0.2</v>
      </c>
      <c r="E3" s="36">
        <v>0.04</v>
      </c>
      <c r="F3" s="37">
        <v>0.2</v>
      </c>
      <c r="G3" s="36">
        <v>0.0048</v>
      </c>
      <c r="H3" s="36">
        <v>0.2</v>
      </c>
      <c r="I3" s="35" t="s">
        <v>60</v>
      </c>
      <c r="J3" s="35" t="s">
        <v>61</v>
      </c>
      <c r="K3" s="35" t="s">
        <v>56</v>
      </c>
      <c r="L3" s="35" t="s">
        <v>57</v>
      </c>
      <c r="M3" s="38">
        <v>0.79</v>
      </c>
    </row>
    <row r="4" spans="1:13" s="29" customFormat="1" x14ac:dyDescent="0.25">
      <c r="A4" s="30" t="s">
        <v>62</v>
      </c>
      <c r="B4" s="30" t="s">
        <v>63</v>
      </c>
      <c r="C4" s="31">
        <v>0.03</v>
      </c>
      <c r="D4" s="32">
        <v>0.25</v>
      </c>
      <c r="E4" s="31">
        <v>0.04</v>
      </c>
      <c r="F4" s="32">
        <v>0.25</v>
      </c>
      <c r="G4" s="31">
        <v>0.005</v>
      </c>
      <c r="H4" s="33"/>
      <c r="I4" s="30" t="s">
        <v>64</v>
      </c>
      <c r="J4" s="30" t="s">
        <v>55</v>
      </c>
      <c r="K4" s="30" t="s">
        <v>56</v>
      </c>
      <c r="L4" s="30" t="s">
        <v>57</v>
      </c>
      <c r="M4" s="34">
        <v>1.37</v>
      </c>
    </row>
    <row r="5" spans="1:13" s="13" customFormat="1" x14ac:dyDescent="0.25">
      <c r="A5" s="35" t="s">
        <v>65</v>
      </c>
      <c r="B5" s="35" t="s">
        <v>66</v>
      </c>
      <c r="C5" s="36">
        <v>0.03</v>
      </c>
      <c r="D5" s="37">
        <v>0.25</v>
      </c>
      <c r="E5" s="36">
        <v>0.04</v>
      </c>
      <c r="F5" s="37">
        <v>0.25</v>
      </c>
      <c r="G5" s="39"/>
      <c r="H5" s="39"/>
      <c r="I5" s="35" t="s">
        <v>67</v>
      </c>
      <c r="J5" s="35" t="s">
        <v>55</v>
      </c>
      <c r="K5" s="35" t="s">
        <v>56</v>
      </c>
      <c r="L5" s="35" t="s">
        <v>57</v>
      </c>
      <c r="M5" s="38">
        <v>1.53</v>
      </c>
    </row>
    <row r="6" spans="1:13" s="29" customFormat="1" x14ac:dyDescent="0.25">
      <c r="A6" s="30" t="s">
        <v>68</v>
      </c>
      <c r="B6" s="30" t="s">
        <v>69</v>
      </c>
      <c r="C6" s="31">
        <v>0.05</v>
      </c>
      <c r="D6" s="32">
        <v>25</v>
      </c>
      <c r="E6" s="31">
        <v>0.05</v>
      </c>
      <c r="F6" s="32">
        <v>25</v>
      </c>
      <c r="G6" s="31">
        <v>0.0005</v>
      </c>
      <c r="H6" s="33"/>
      <c r="I6" s="30" t="s">
        <v>70</v>
      </c>
      <c r="J6" s="30" t="s">
        <v>71</v>
      </c>
      <c r="K6" s="30" t="s">
        <v>56</v>
      </c>
      <c r="L6" s="30" t="s">
        <v>57</v>
      </c>
      <c r="M6" s="34">
        <v>84</v>
      </c>
    </row>
    <row r="7" spans="1:13" s="13" customFormat="1" x14ac:dyDescent="0.25">
      <c r="A7" s="35" t="s">
        <v>72</v>
      </c>
      <c r="B7" s="35" t="s">
        <v>73</v>
      </c>
      <c r="C7" s="36">
        <v>0.04</v>
      </c>
      <c r="D7" s="37">
        <v>0.3</v>
      </c>
      <c r="E7" s="36">
        <v>0.04</v>
      </c>
      <c r="F7" s="37">
        <v>0.3</v>
      </c>
      <c r="G7" s="39"/>
      <c r="H7" s="36">
        <v>0.19</v>
      </c>
      <c r="I7" s="35" t="s">
        <v>74</v>
      </c>
      <c r="J7" s="35" t="s">
        <v>75</v>
      </c>
      <c r="K7" s="35" t="s">
        <v>56</v>
      </c>
      <c r="L7" s="35" t="s">
        <v>57</v>
      </c>
      <c r="M7" s="38">
        <v>0.92</v>
      </c>
    </row>
    <row r="8" spans="1:13" s="29" customFormat="1" x14ac:dyDescent="0.25">
      <c r="A8" s="30" t="s">
        <v>76</v>
      </c>
      <c r="B8" s="30" t="s">
        <v>77</v>
      </c>
      <c r="C8" s="31">
        <v>0.04</v>
      </c>
      <c r="D8" s="32">
        <v>0.3</v>
      </c>
      <c r="E8" s="31">
        <v>0.04</v>
      </c>
      <c r="F8" s="32">
        <v>0.3</v>
      </c>
      <c r="G8" s="31">
        <v>0.0114</v>
      </c>
      <c r="H8" s="31">
        <v>0.2</v>
      </c>
      <c r="I8" s="30" t="s">
        <v>74</v>
      </c>
      <c r="J8" s="30" t="s">
        <v>75</v>
      </c>
      <c r="K8" s="30" t="s">
        <v>56</v>
      </c>
      <c r="L8" s="30" t="s">
        <v>57</v>
      </c>
      <c r="M8" s="34">
        <v>0.92</v>
      </c>
    </row>
    <row r="9" spans="1:13" s="13" customFormat="1" x14ac:dyDescent="0.25">
      <c r="A9" s="35" t="s">
        <v>78</v>
      </c>
      <c r="B9" s="35" t="s">
        <v>79</v>
      </c>
      <c r="C9" s="36">
        <v>0.04</v>
      </c>
      <c r="D9" s="37">
        <v>0.3</v>
      </c>
      <c r="E9" s="36">
        <v>0.04</v>
      </c>
      <c r="F9" s="37">
        <v>0.3</v>
      </c>
      <c r="G9" s="36">
        <v>0.008</v>
      </c>
      <c r="H9" s="36">
        <v>0.22</v>
      </c>
      <c r="I9" s="35" t="s">
        <v>74</v>
      </c>
      <c r="J9" s="35" t="s">
        <v>75</v>
      </c>
      <c r="K9" s="35" t="s">
        <v>56</v>
      </c>
      <c r="L9" s="35" t="s">
        <v>57</v>
      </c>
      <c r="M9" s="38">
        <v>0.92</v>
      </c>
    </row>
    <row r="10" spans="1:13" s="29" customFormat="1" x14ac:dyDescent="0.25">
      <c r="A10" s="30" t="s">
        <v>80</v>
      </c>
      <c r="B10" s="30" t="s">
        <v>81</v>
      </c>
      <c r="C10" s="31">
        <v>0.04</v>
      </c>
      <c r="D10" s="32">
        <v>0.3</v>
      </c>
      <c r="E10" s="31">
        <v>0.04</v>
      </c>
      <c r="F10" s="32">
        <v>0.3</v>
      </c>
      <c r="G10" s="31">
        <v>0.0088</v>
      </c>
      <c r="H10" s="31">
        <v>0.21</v>
      </c>
      <c r="I10" s="30" t="s">
        <v>74</v>
      </c>
      <c r="J10" s="30" t="s">
        <v>75</v>
      </c>
      <c r="K10" s="30" t="s">
        <v>56</v>
      </c>
      <c r="L10" s="30" t="s">
        <v>57</v>
      </c>
      <c r="M10" s="34">
        <v>0.92</v>
      </c>
    </row>
    <row r="11" spans="1:13" s="13" customFormat="1" x14ac:dyDescent="0.25">
      <c r="A11" s="35" t="s">
        <v>82</v>
      </c>
      <c r="B11" s="35" t="s">
        <v>83</v>
      </c>
      <c r="C11" s="36">
        <v>0.065</v>
      </c>
      <c r="D11" s="37">
        <v>14</v>
      </c>
      <c r="E11" s="36">
        <v>0.065</v>
      </c>
      <c r="F11" s="37">
        <v>14</v>
      </c>
      <c r="G11" s="36">
        <v>0.0167</v>
      </c>
      <c r="H11" s="39"/>
      <c r="I11" s="35" t="s">
        <v>84</v>
      </c>
      <c r="J11" s="35" t="s">
        <v>85</v>
      </c>
      <c r="K11" s="35" t="s">
        <v>56</v>
      </c>
      <c r="L11" s="35" t="s">
        <v>57</v>
      </c>
      <c r="M11" s="38">
        <v>40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AE39"/>
    <pageSetUpPr fitToPage="1"/>
  </sheetPr>
  <dimension ref="A1:U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" customWidth="1"/>
    <col min="2" max="2" width="18" customWidth="1"/>
    <col min="3" max="3" width="16" customWidth="1"/>
    <col min="5" max="5" width="12" customWidth="1"/>
    <col min="6" max="7" width="14" customWidth="1"/>
    <col min="8" max="8" width="10" customWidth="1"/>
    <col min="9" max="9" width="12" customWidth="1"/>
    <col min="10" max="10" width="14" customWidth="1"/>
    <col min="11" max="11" width="12" customWidth="1"/>
    <col min="12" max="12" width="11" customWidth="1"/>
    <col min="13" max="15" width="13" customWidth="1"/>
    <col min="16" max="16" width="11" customWidth="1"/>
    <col min="17" max="17" width="13" customWidth="1"/>
    <col min="18" max="21" width="11" customWidth="1"/>
  </cols>
  <sheetData>
    <row r="1" ht="32" customHeight="1" spans="1:21" s="27" customFormat="1" x14ac:dyDescent="0.25">
      <c r="A1" s="28" t="s">
        <v>86</v>
      </c>
      <c r="B1" s="28" t="s">
        <v>87</v>
      </c>
      <c r="C1" s="28" t="s">
        <v>88</v>
      </c>
      <c r="D1" s="28" t="s">
        <v>89</v>
      </c>
      <c r="E1" s="28" t="s">
        <v>90</v>
      </c>
      <c r="F1" s="28" t="s">
        <v>91</v>
      </c>
      <c r="G1" s="28" t="s">
        <v>92</v>
      </c>
      <c r="H1" s="28" t="s">
        <v>93</v>
      </c>
      <c r="I1" s="28" t="s">
        <v>94</v>
      </c>
      <c r="J1" s="28" t="s">
        <v>95</v>
      </c>
      <c r="K1" s="28" t="s">
        <v>96</v>
      </c>
      <c r="L1" s="28" t="s">
        <v>97</v>
      </c>
      <c r="M1" s="28" t="s">
        <v>98</v>
      </c>
      <c r="N1" s="28" t="s">
        <v>99</v>
      </c>
      <c r="O1" s="28" t="s">
        <v>100</v>
      </c>
      <c r="P1" s="28" t="s">
        <v>101</v>
      </c>
      <c r="Q1" s="28" t="s">
        <v>102</v>
      </c>
      <c r="R1" s="28" t="s">
        <v>103</v>
      </c>
      <c r="S1" s="28" t="s">
        <v>104</v>
      </c>
      <c r="T1" s="28" t="s">
        <v>105</v>
      </c>
      <c r="U1" s="28" t="s">
        <v>106</v>
      </c>
    </row>
    <row r="2" ht="18" customHeight="1" spans="1:21" s="40" customFormat="1" x14ac:dyDescent="0.25">
      <c r="A2" s="41">
        <v>1</v>
      </c>
      <c r="B2" s="30" t="s">
        <v>107</v>
      </c>
      <c r="C2" s="30" t="s">
        <v>108</v>
      </c>
      <c r="D2" s="42">
        <v>1</v>
      </c>
      <c r="E2" s="32">
        <v>100</v>
      </c>
      <c r="F2" s="32"/>
      <c r="G2" s="32"/>
      <c r="H2" s="31"/>
      <c r="I2" s="32"/>
      <c r="J2" s="32"/>
      <c r="K2" s="30" t="s">
        <v>109</v>
      </c>
      <c r="L2" s="43">
        <f>ROUND(Settings!$F$15*Settings!$F$19*IF(D2="",1,D2),2)</f>
      </c>
      <c r="M2" s="43">
        <f>IF(S2="","",ROUND(S2*Settings!$F$6,2))</f>
      </c>
      <c r="N2" s="43">
        <f>IF(S2="","",ROUND(S2*IF(Settings!$B$3="Domestic buyer",Settings!$F$7,Settings!$F$9)+IF(Settings!$B$3="Domestic buyer",Settings!$F$8,Settings!$F$10),2))</f>
      </c>
      <c r="O2" s="43">
        <f>IF(S2="","",IF(Settings!$F$11="",0,ROUND(S2*Settings!$F$11,2)))</f>
      </c>
      <c r="P2" s="43">
        <f>IF(S2="","",IF(Settings!$F$12="",0,ROUND((L2+M2+N2+O2+Q2)*Settings!$F$12,2)))</f>
      </c>
      <c r="Q2" s="43">
        <f>IF(S2="","",IF(K2="No",0,ROUND(MIN(S2/Settings!$F$19*IF(K2="15%",Settings!$F$16,Settings!$F$17),Settings!$F$18)*Settings!$F$19,2)))</f>
      </c>
      <c r="R2" s="44">
        <f>IF(S2="","",ROUND(L2+M2+N2+O2+P2+Q2,2))</f>
      </c>
      <c r="S2" s="43">
        <f>IF(E2="","",ROUND(E2*(1-IF(H2="",0,H2))+IF(C2="Digital",0,IF(F2="",0,F2)+IF(G2="",0,G2)),2))</f>
      </c>
      <c r="T2" s="43">
        <f>IF(S2="","",ROUND(S2-R2-IF(I2="",0,I2)-IF(C2="Digital",0,IF(J2="",0,J2)),2))</f>
      </c>
      <c r="U2" s="45">
        <f>IF(S2="","",IF(S2=0,0,T2/S2))</f>
      </c>
    </row>
    <row r="3" ht="18" customHeight="1" spans="1:21" x14ac:dyDescent="0.25">
      <c r="A3" s="46">
        <v>2</v>
      </c>
      <c r="B3" s="35" t="s">
        <v>110</v>
      </c>
      <c r="C3" s="35" t="s">
        <v>108</v>
      </c>
      <c r="D3" s="47">
        <v>1</v>
      </c>
      <c r="E3" s="37"/>
      <c r="F3" s="37"/>
      <c r="G3" s="37"/>
      <c r="H3" s="36"/>
      <c r="I3" s="37"/>
      <c r="J3" s="37"/>
      <c r="K3" s="35" t="s">
        <v>109</v>
      </c>
      <c r="L3" s="48">
        <f>ROUND(Settings!$F$15*Settings!$F$19*IF(D3="",1,D3),2)</f>
      </c>
      <c r="M3" s="48">
        <f>IF(S3="","",ROUND(S3*Settings!$F$6,2))</f>
      </c>
      <c r="N3" s="48">
        <f>IF(S3="","",ROUND(S3*IF(Settings!$B$3="Domestic buyer",Settings!$F$7,Settings!$F$9)+IF(Settings!$B$3="Domestic buyer",Settings!$F$8,Settings!$F$10),2))</f>
      </c>
      <c r="O3" s="48">
        <f>IF(S3="","",IF(Settings!$F$11="",0,ROUND(S3*Settings!$F$11,2)))</f>
      </c>
      <c r="P3" s="48">
        <f>IF(S3="","",IF(Settings!$F$12="",0,ROUND((L3+M3+N3+O3+Q3)*Settings!$F$12,2)))</f>
      </c>
      <c r="Q3" s="48">
        <f>IF(S3="","",IF(K3="No",0,ROUND(MIN(S3/Settings!$F$19*IF(K3="15%",Settings!$F$16,Settings!$F$17),Settings!$F$18)*Settings!$F$19,2)))</f>
      </c>
      <c r="R3" s="49">
        <f>IF(S3="","",ROUND(L3+M3+N3+O3+P3+Q3,2))</f>
      </c>
      <c r="S3" s="48">
        <f>IF(E3="","",ROUND(E3*(1-IF(H3="",0,H3))+IF(C3="Digital",0,IF(F3="",0,F3)+IF(G3="",0,G3)),2))</f>
      </c>
      <c r="T3" s="48">
        <f>IF(S3="","",ROUND(S3-R3-IF(I3="",0,I3)-IF(C3="Digital",0,IF(J3="",0,J3)),2))</f>
      </c>
      <c r="U3" s="50">
        <f>IF(S3="","",IF(S3=0,0,T3/S3))</f>
      </c>
    </row>
    <row r="4" ht="18" customHeight="1" spans="1:21" s="40" customFormat="1" x14ac:dyDescent="0.25">
      <c r="A4" s="41">
        <v>3</v>
      </c>
      <c r="B4" s="30"/>
      <c r="C4" s="30" t="s">
        <v>108</v>
      </c>
      <c r="D4" s="42">
        <v>1</v>
      </c>
      <c r="E4" s="32"/>
      <c r="F4" s="32"/>
      <c r="G4" s="32"/>
      <c r="H4" s="31"/>
      <c r="I4" s="32"/>
      <c r="J4" s="32"/>
      <c r="K4" s="30" t="s">
        <v>109</v>
      </c>
      <c r="L4" s="43">
        <f>ROUND(Settings!$F$15*Settings!$F$19*IF(D4="",1,D4),2)</f>
      </c>
      <c r="M4" s="43">
        <f>IF(S4="","",ROUND(S4*Settings!$F$6,2))</f>
      </c>
      <c r="N4" s="43">
        <f>IF(S4="","",ROUND(S4*IF(Settings!$B$3="Domestic buyer",Settings!$F$7,Settings!$F$9)+IF(Settings!$B$3="Domestic buyer",Settings!$F$8,Settings!$F$10),2))</f>
      </c>
      <c r="O4" s="43">
        <f>IF(S4="","",IF(Settings!$F$11="",0,ROUND(S4*Settings!$F$11,2)))</f>
      </c>
      <c r="P4" s="43">
        <f>IF(S4="","",IF(Settings!$F$12="",0,ROUND((L4+M4+N4+O4+Q4)*Settings!$F$12,2)))</f>
      </c>
      <c r="Q4" s="43">
        <f>IF(S4="","",IF(K4="No",0,ROUND(MIN(S4/Settings!$F$19*IF(K4="15%",Settings!$F$16,Settings!$F$17),Settings!$F$18)*Settings!$F$19,2)))</f>
      </c>
      <c r="R4" s="44">
        <f>IF(S4="","",ROUND(L4+M4+N4+O4+P4+Q4,2))</f>
      </c>
      <c r="S4" s="43">
        <f>IF(E4="","",ROUND(E4*(1-IF(H4="",0,H4))+IF(C4="Digital",0,IF(F4="",0,F4)+IF(G4="",0,G4)),2))</f>
      </c>
      <c r="T4" s="43">
        <f>IF(S4="","",ROUND(S4-R4-IF(I4="",0,I4)-IF(C4="Digital",0,IF(J4="",0,J4)),2))</f>
      </c>
      <c r="U4" s="45">
        <f>IF(S4="","",IF(S4=0,0,T4/S4))</f>
      </c>
    </row>
    <row r="5" ht="18" customHeight="1" spans="1:21" x14ac:dyDescent="0.25">
      <c r="A5" s="46">
        <v>4</v>
      </c>
      <c r="B5" s="35"/>
      <c r="C5" s="35" t="s">
        <v>108</v>
      </c>
      <c r="D5" s="47">
        <v>1</v>
      </c>
      <c r="E5" s="37"/>
      <c r="F5" s="37"/>
      <c r="G5" s="37"/>
      <c r="H5" s="36"/>
      <c r="I5" s="37"/>
      <c r="J5" s="37"/>
      <c r="K5" s="35" t="s">
        <v>109</v>
      </c>
      <c r="L5" s="48">
        <f>ROUND(Settings!$F$15*Settings!$F$19*IF(D5="",1,D5),2)</f>
      </c>
      <c r="M5" s="48">
        <f>IF(S5="","",ROUND(S5*Settings!$F$6,2))</f>
      </c>
      <c r="N5" s="48">
        <f>IF(S5="","",ROUND(S5*IF(Settings!$B$3="Domestic buyer",Settings!$F$7,Settings!$F$9)+IF(Settings!$B$3="Domestic buyer",Settings!$F$8,Settings!$F$10),2))</f>
      </c>
      <c r="O5" s="48">
        <f>IF(S5="","",IF(Settings!$F$11="",0,ROUND(S5*Settings!$F$11,2)))</f>
      </c>
      <c r="P5" s="48">
        <f>IF(S5="","",IF(Settings!$F$12="",0,ROUND((L5+M5+N5+O5+Q5)*Settings!$F$12,2)))</f>
      </c>
      <c r="Q5" s="48">
        <f>IF(S5="","",IF(K5="No",0,ROUND(MIN(S5/Settings!$F$19*IF(K5="15%",Settings!$F$16,Settings!$F$17),Settings!$F$18)*Settings!$F$19,2)))</f>
      </c>
      <c r="R5" s="49">
        <f>IF(S5="","",ROUND(L5+M5+N5+O5+P5+Q5,2))</f>
      </c>
      <c r="S5" s="48">
        <f>IF(E5="","",ROUND(E5*(1-IF(H5="",0,H5))+IF(C5="Digital",0,IF(F5="",0,F5)+IF(G5="",0,G5)),2))</f>
      </c>
      <c r="T5" s="48">
        <f>IF(S5="","",ROUND(S5-R5-IF(I5="",0,I5)-IF(C5="Digital",0,IF(J5="",0,J5)),2))</f>
      </c>
      <c r="U5" s="50">
        <f>IF(S5="","",IF(S5=0,0,T5/S5))</f>
      </c>
    </row>
    <row r="6" ht="18" customHeight="1" spans="1:21" s="40" customFormat="1" x14ac:dyDescent="0.25">
      <c r="A6" s="41">
        <v>5</v>
      </c>
      <c r="B6" s="30"/>
      <c r="C6" s="30" t="s">
        <v>108</v>
      </c>
      <c r="D6" s="42">
        <v>1</v>
      </c>
      <c r="E6" s="32"/>
      <c r="F6" s="32"/>
      <c r="G6" s="32"/>
      <c r="H6" s="31"/>
      <c r="I6" s="32"/>
      <c r="J6" s="32"/>
      <c r="K6" s="30" t="s">
        <v>109</v>
      </c>
      <c r="L6" s="43">
        <f>ROUND(Settings!$F$15*Settings!$F$19*IF(D6="",1,D6),2)</f>
      </c>
      <c r="M6" s="43">
        <f>IF(S6="","",ROUND(S6*Settings!$F$6,2))</f>
      </c>
      <c r="N6" s="43">
        <f>IF(S6="","",ROUND(S6*IF(Settings!$B$3="Domestic buyer",Settings!$F$7,Settings!$F$9)+IF(Settings!$B$3="Domestic buyer",Settings!$F$8,Settings!$F$10),2))</f>
      </c>
      <c r="O6" s="43">
        <f>IF(S6="","",IF(Settings!$F$11="",0,ROUND(S6*Settings!$F$11,2)))</f>
      </c>
      <c r="P6" s="43">
        <f>IF(S6="","",IF(Settings!$F$12="",0,ROUND((L6+M6+N6+O6+Q6)*Settings!$F$12,2)))</f>
      </c>
      <c r="Q6" s="43">
        <f>IF(S6="","",IF(K6="No",0,ROUND(MIN(S6/Settings!$F$19*IF(K6="15%",Settings!$F$16,Settings!$F$17),Settings!$F$18)*Settings!$F$19,2)))</f>
      </c>
      <c r="R6" s="44">
        <f>IF(S6="","",ROUND(L6+M6+N6+O6+P6+Q6,2))</f>
      </c>
      <c r="S6" s="43">
        <f>IF(E6="","",ROUND(E6*(1-IF(H6="",0,H6))+IF(C6="Digital",0,IF(F6="",0,F6)+IF(G6="",0,G6)),2))</f>
      </c>
      <c r="T6" s="43">
        <f>IF(S6="","",ROUND(S6-R6-IF(I6="",0,I6)-IF(C6="Digital",0,IF(J6="",0,J6)),2))</f>
      </c>
      <c r="U6" s="45">
        <f>IF(S6="","",IF(S6=0,0,T6/S6))</f>
      </c>
    </row>
    <row r="7" ht="18" customHeight="1" spans="1:21" x14ac:dyDescent="0.25">
      <c r="A7" s="46">
        <v>6</v>
      </c>
      <c r="B7" s="35"/>
      <c r="C7" s="35" t="s">
        <v>108</v>
      </c>
      <c r="D7" s="47">
        <v>1</v>
      </c>
      <c r="E7" s="37"/>
      <c r="F7" s="37"/>
      <c r="G7" s="37"/>
      <c r="H7" s="36"/>
      <c r="I7" s="37"/>
      <c r="J7" s="37"/>
      <c r="K7" s="35" t="s">
        <v>109</v>
      </c>
      <c r="L7" s="48">
        <f>ROUND(Settings!$F$15*Settings!$F$19*IF(D7="",1,D7),2)</f>
      </c>
      <c r="M7" s="48">
        <f>IF(S7="","",ROUND(S7*Settings!$F$6,2))</f>
      </c>
      <c r="N7" s="48">
        <f>IF(S7="","",ROUND(S7*IF(Settings!$B$3="Domestic buyer",Settings!$F$7,Settings!$F$9)+IF(Settings!$B$3="Domestic buyer",Settings!$F$8,Settings!$F$10),2))</f>
      </c>
      <c r="O7" s="48">
        <f>IF(S7="","",IF(Settings!$F$11="",0,ROUND(S7*Settings!$F$11,2)))</f>
      </c>
      <c r="P7" s="48">
        <f>IF(S7="","",IF(Settings!$F$12="",0,ROUND((L7+M7+N7+O7+Q7)*Settings!$F$12,2)))</f>
      </c>
      <c r="Q7" s="48">
        <f>IF(S7="","",IF(K7="No",0,ROUND(MIN(S7/Settings!$F$19*IF(K7="15%",Settings!$F$16,Settings!$F$17),Settings!$F$18)*Settings!$F$19,2)))</f>
      </c>
      <c r="R7" s="49">
        <f>IF(S7="","",ROUND(L7+M7+N7+O7+P7+Q7,2))</f>
      </c>
      <c r="S7" s="48">
        <f>IF(E7="","",ROUND(E7*(1-IF(H7="",0,H7))+IF(C7="Digital",0,IF(F7="",0,F7)+IF(G7="",0,G7)),2))</f>
      </c>
      <c r="T7" s="48">
        <f>IF(S7="","",ROUND(S7-R7-IF(I7="",0,I7)-IF(C7="Digital",0,IF(J7="",0,J7)),2))</f>
      </c>
      <c r="U7" s="50">
        <f>IF(S7="","",IF(S7=0,0,T7/S7))</f>
      </c>
    </row>
    <row r="8" ht="18" customHeight="1" spans="1:21" s="40" customFormat="1" x14ac:dyDescent="0.25">
      <c r="A8" s="41">
        <v>7</v>
      </c>
      <c r="B8" s="30"/>
      <c r="C8" s="30" t="s">
        <v>108</v>
      </c>
      <c r="D8" s="42">
        <v>1</v>
      </c>
      <c r="E8" s="32"/>
      <c r="F8" s="32"/>
      <c r="G8" s="32"/>
      <c r="H8" s="31"/>
      <c r="I8" s="32"/>
      <c r="J8" s="32"/>
      <c r="K8" s="30" t="s">
        <v>109</v>
      </c>
      <c r="L8" s="43">
        <f>ROUND(Settings!$F$15*Settings!$F$19*IF(D8="",1,D8),2)</f>
      </c>
      <c r="M8" s="43">
        <f>IF(S8="","",ROUND(S8*Settings!$F$6,2))</f>
      </c>
      <c r="N8" s="43">
        <f>IF(S8="","",ROUND(S8*IF(Settings!$B$3="Domestic buyer",Settings!$F$7,Settings!$F$9)+IF(Settings!$B$3="Domestic buyer",Settings!$F$8,Settings!$F$10),2))</f>
      </c>
      <c r="O8" s="43">
        <f>IF(S8="","",IF(Settings!$F$11="",0,ROUND(S8*Settings!$F$11,2)))</f>
      </c>
      <c r="P8" s="43">
        <f>IF(S8="","",IF(Settings!$F$12="",0,ROUND((L8+M8+N8+O8+Q8)*Settings!$F$12,2)))</f>
      </c>
      <c r="Q8" s="43">
        <f>IF(S8="","",IF(K8="No",0,ROUND(MIN(S8/Settings!$F$19*IF(K8="15%",Settings!$F$16,Settings!$F$17),Settings!$F$18)*Settings!$F$19,2)))</f>
      </c>
      <c r="R8" s="44">
        <f>IF(S8="","",ROUND(L8+M8+N8+O8+P8+Q8,2))</f>
      </c>
      <c r="S8" s="43">
        <f>IF(E8="","",ROUND(E8*(1-IF(H8="",0,H8))+IF(C8="Digital",0,IF(F8="",0,F8)+IF(G8="",0,G8)),2))</f>
      </c>
      <c r="T8" s="43">
        <f>IF(S8="","",ROUND(S8-R8-IF(I8="",0,I8)-IF(C8="Digital",0,IF(J8="",0,J8)),2))</f>
      </c>
      <c r="U8" s="45">
        <f>IF(S8="","",IF(S8=0,0,T8/S8))</f>
      </c>
    </row>
    <row r="9" ht="18" customHeight="1" spans="1:21" x14ac:dyDescent="0.25">
      <c r="A9" s="46">
        <v>8</v>
      </c>
      <c r="B9" s="35"/>
      <c r="C9" s="35" t="s">
        <v>108</v>
      </c>
      <c r="D9" s="47">
        <v>1</v>
      </c>
      <c r="E9" s="37"/>
      <c r="F9" s="37"/>
      <c r="G9" s="37"/>
      <c r="H9" s="36"/>
      <c r="I9" s="37"/>
      <c r="J9" s="37"/>
      <c r="K9" s="35" t="s">
        <v>109</v>
      </c>
      <c r="L9" s="48">
        <f>ROUND(Settings!$F$15*Settings!$F$19*IF(D9="",1,D9),2)</f>
      </c>
      <c r="M9" s="48">
        <f>IF(S9="","",ROUND(S9*Settings!$F$6,2))</f>
      </c>
      <c r="N9" s="48">
        <f>IF(S9="","",ROUND(S9*IF(Settings!$B$3="Domestic buyer",Settings!$F$7,Settings!$F$9)+IF(Settings!$B$3="Domestic buyer",Settings!$F$8,Settings!$F$10),2))</f>
      </c>
      <c r="O9" s="48">
        <f>IF(S9="","",IF(Settings!$F$11="",0,ROUND(S9*Settings!$F$11,2)))</f>
      </c>
      <c r="P9" s="48">
        <f>IF(S9="","",IF(Settings!$F$12="",0,ROUND((L9+M9+N9+O9+Q9)*Settings!$F$12,2)))</f>
      </c>
      <c r="Q9" s="48">
        <f>IF(S9="","",IF(K9="No",0,ROUND(MIN(S9/Settings!$F$19*IF(K9="15%",Settings!$F$16,Settings!$F$17),Settings!$F$18)*Settings!$F$19,2)))</f>
      </c>
      <c r="R9" s="49">
        <f>IF(S9="","",ROUND(L9+M9+N9+O9+P9+Q9,2))</f>
      </c>
      <c r="S9" s="48">
        <f>IF(E9="","",ROUND(E9*(1-IF(H9="",0,H9))+IF(C9="Digital",0,IF(F9="",0,F9)+IF(G9="",0,G9)),2))</f>
      </c>
      <c r="T9" s="48">
        <f>IF(S9="","",ROUND(S9-R9-IF(I9="",0,I9)-IF(C9="Digital",0,IF(J9="",0,J9)),2))</f>
      </c>
      <c r="U9" s="50">
        <f>IF(S9="","",IF(S9=0,0,T9/S9))</f>
      </c>
    </row>
    <row r="10" ht="18" customHeight="1" spans="1:21" s="40" customFormat="1" x14ac:dyDescent="0.25">
      <c r="A10" s="41">
        <v>9</v>
      </c>
      <c r="B10" s="30"/>
      <c r="C10" s="30" t="s">
        <v>108</v>
      </c>
      <c r="D10" s="42">
        <v>1</v>
      </c>
      <c r="E10" s="32"/>
      <c r="F10" s="32"/>
      <c r="G10" s="32"/>
      <c r="H10" s="31"/>
      <c r="I10" s="32"/>
      <c r="J10" s="32"/>
      <c r="K10" s="30" t="s">
        <v>109</v>
      </c>
      <c r="L10" s="43">
        <f>ROUND(Settings!$F$15*Settings!$F$19*IF(D10="",1,D10),2)</f>
      </c>
      <c r="M10" s="43">
        <f>IF(S10="","",ROUND(S10*Settings!$F$6,2))</f>
      </c>
      <c r="N10" s="43">
        <f>IF(S10="","",ROUND(S10*IF(Settings!$B$3="Domestic buyer",Settings!$F$7,Settings!$F$9)+IF(Settings!$B$3="Domestic buyer",Settings!$F$8,Settings!$F$10),2))</f>
      </c>
      <c r="O10" s="43">
        <f>IF(S10="","",IF(Settings!$F$11="",0,ROUND(S10*Settings!$F$11,2)))</f>
      </c>
      <c r="P10" s="43">
        <f>IF(S10="","",IF(Settings!$F$12="",0,ROUND((L10+M10+N10+O10+Q10)*Settings!$F$12,2)))</f>
      </c>
      <c r="Q10" s="43">
        <f>IF(S10="","",IF(K10="No",0,ROUND(MIN(S10/Settings!$F$19*IF(K10="15%",Settings!$F$16,Settings!$F$17),Settings!$F$18)*Settings!$F$19,2)))</f>
      </c>
      <c r="R10" s="44">
        <f>IF(S10="","",ROUND(L10+M10+N10+O10+P10+Q10,2))</f>
      </c>
      <c r="S10" s="43">
        <f>IF(E10="","",ROUND(E10*(1-IF(H10="",0,H10))+IF(C10="Digital",0,IF(F10="",0,F10)+IF(G10="",0,G10)),2))</f>
      </c>
      <c r="T10" s="43">
        <f>IF(S10="","",ROUND(S10-R10-IF(I10="",0,I10)-IF(C10="Digital",0,IF(J10="",0,J10)),2))</f>
      </c>
      <c r="U10" s="45">
        <f>IF(S10="","",IF(S10=0,0,T10/S10))</f>
      </c>
    </row>
    <row r="11" ht="18" customHeight="1" spans="1:21" x14ac:dyDescent="0.25">
      <c r="A11" s="46">
        <v>10</v>
      </c>
      <c r="B11" s="35"/>
      <c r="C11" s="35" t="s">
        <v>108</v>
      </c>
      <c r="D11" s="47">
        <v>1</v>
      </c>
      <c r="E11" s="37"/>
      <c r="F11" s="37"/>
      <c r="G11" s="37"/>
      <c r="H11" s="36"/>
      <c r="I11" s="37"/>
      <c r="J11" s="37"/>
      <c r="K11" s="35" t="s">
        <v>109</v>
      </c>
      <c r="L11" s="48">
        <f>ROUND(Settings!$F$15*Settings!$F$19*IF(D11="",1,D11),2)</f>
      </c>
      <c r="M11" s="48">
        <f>IF(S11="","",ROUND(S11*Settings!$F$6,2))</f>
      </c>
      <c r="N11" s="48">
        <f>IF(S11="","",ROUND(S11*IF(Settings!$B$3="Domestic buyer",Settings!$F$7,Settings!$F$9)+IF(Settings!$B$3="Domestic buyer",Settings!$F$8,Settings!$F$10),2))</f>
      </c>
      <c r="O11" s="48">
        <f>IF(S11="","",IF(Settings!$F$11="",0,ROUND(S11*Settings!$F$11,2)))</f>
      </c>
      <c r="P11" s="48">
        <f>IF(S11="","",IF(Settings!$F$12="",0,ROUND((L11+M11+N11+O11+Q11)*Settings!$F$12,2)))</f>
      </c>
      <c r="Q11" s="48">
        <f>IF(S11="","",IF(K11="No",0,ROUND(MIN(S11/Settings!$F$19*IF(K11="15%",Settings!$F$16,Settings!$F$17),Settings!$F$18)*Settings!$F$19,2)))</f>
      </c>
      <c r="R11" s="49">
        <f>IF(S11="","",ROUND(L11+M11+N11+O11+P11+Q11,2))</f>
      </c>
      <c r="S11" s="48">
        <f>IF(E11="","",ROUND(E11*(1-IF(H11="",0,H11))+IF(C11="Digital",0,IF(F11="",0,F11)+IF(G11="",0,G11)),2))</f>
      </c>
      <c r="T11" s="48">
        <f>IF(S11="","",ROUND(S11-R11-IF(I11="",0,I11)-IF(C11="Digital",0,IF(J11="",0,J11)),2))</f>
      </c>
      <c r="U11" s="50">
        <f>IF(S11="","",IF(S11=0,0,T11/S11))</f>
      </c>
    </row>
    <row r="12" ht="18" customHeight="1" spans="1:21" s="40" customFormat="1" x14ac:dyDescent="0.25">
      <c r="A12" s="41">
        <v>11</v>
      </c>
      <c r="B12" s="30"/>
      <c r="C12" s="30" t="s">
        <v>108</v>
      </c>
      <c r="D12" s="42">
        <v>1</v>
      </c>
      <c r="E12" s="32"/>
      <c r="F12" s="32"/>
      <c r="G12" s="32"/>
      <c r="H12" s="31"/>
      <c r="I12" s="32"/>
      <c r="J12" s="32"/>
      <c r="K12" s="30" t="s">
        <v>109</v>
      </c>
      <c r="L12" s="43">
        <f>ROUND(Settings!$F$15*Settings!$F$19*IF(D12="",1,D12),2)</f>
      </c>
      <c r="M12" s="43">
        <f>IF(S12="","",ROUND(S12*Settings!$F$6,2))</f>
      </c>
      <c r="N12" s="43">
        <f>IF(S12="","",ROUND(S12*IF(Settings!$B$3="Domestic buyer",Settings!$F$7,Settings!$F$9)+IF(Settings!$B$3="Domestic buyer",Settings!$F$8,Settings!$F$10),2))</f>
      </c>
      <c r="O12" s="43">
        <f>IF(S12="","",IF(Settings!$F$11="",0,ROUND(S12*Settings!$F$11,2)))</f>
      </c>
      <c r="P12" s="43">
        <f>IF(S12="","",IF(Settings!$F$12="",0,ROUND((L12+M12+N12+O12+Q12)*Settings!$F$12,2)))</f>
      </c>
      <c r="Q12" s="43">
        <f>IF(S12="","",IF(K12="No",0,ROUND(MIN(S12/Settings!$F$19*IF(K12="15%",Settings!$F$16,Settings!$F$17),Settings!$F$18)*Settings!$F$19,2)))</f>
      </c>
      <c r="R12" s="44">
        <f>IF(S12="","",ROUND(L12+M12+N12+O12+P12+Q12,2))</f>
      </c>
      <c r="S12" s="43">
        <f>IF(E12="","",ROUND(E12*(1-IF(H12="",0,H12))+IF(C12="Digital",0,IF(F12="",0,F12)+IF(G12="",0,G12)),2))</f>
      </c>
      <c r="T12" s="43">
        <f>IF(S12="","",ROUND(S12-R12-IF(I12="",0,I12)-IF(C12="Digital",0,IF(J12="",0,J12)),2))</f>
      </c>
      <c r="U12" s="45">
        <f>IF(S12="","",IF(S12=0,0,T12/S12))</f>
      </c>
    </row>
    <row r="13" ht="18" customHeight="1" spans="1:21" x14ac:dyDescent="0.25">
      <c r="A13" s="46">
        <v>12</v>
      </c>
      <c r="B13" s="35"/>
      <c r="C13" s="35" t="s">
        <v>108</v>
      </c>
      <c r="D13" s="47">
        <v>1</v>
      </c>
      <c r="E13" s="37"/>
      <c r="F13" s="37"/>
      <c r="G13" s="37"/>
      <c r="H13" s="36"/>
      <c r="I13" s="37"/>
      <c r="J13" s="37"/>
      <c r="K13" s="35" t="s">
        <v>109</v>
      </c>
      <c r="L13" s="48">
        <f>ROUND(Settings!$F$15*Settings!$F$19*IF(D13="",1,D13),2)</f>
      </c>
      <c r="M13" s="48">
        <f>IF(S13="","",ROUND(S13*Settings!$F$6,2))</f>
      </c>
      <c r="N13" s="48">
        <f>IF(S13="","",ROUND(S13*IF(Settings!$B$3="Domestic buyer",Settings!$F$7,Settings!$F$9)+IF(Settings!$B$3="Domestic buyer",Settings!$F$8,Settings!$F$10),2))</f>
      </c>
      <c r="O13" s="48">
        <f>IF(S13="","",IF(Settings!$F$11="",0,ROUND(S13*Settings!$F$11,2)))</f>
      </c>
      <c r="P13" s="48">
        <f>IF(S13="","",IF(Settings!$F$12="",0,ROUND((L13+M13+N13+O13+Q13)*Settings!$F$12,2)))</f>
      </c>
      <c r="Q13" s="48">
        <f>IF(S13="","",IF(K13="No",0,ROUND(MIN(S13/Settings!$F$19*IF(K13="15%",Settings!$F$16,Settings!$F$17),Settings!$F$18)*Settings!$F$19,2)))</f>
      </c>
      <c r="R13" s="49">
        <f>IF(S13="","",ROUND(L13+M13+N13+O13+P13+Q13,2))</f>
      </c>
      <c r="S13" s="48">
        <f>IF(E13="","",ROUND(E13*(1-IF(H13="",0,H13))+IF(C13="Digital",0,IF(F13="",0,F13)+IF(G13="",0,G13)),2))</f>
      </c>
      <c r="T13" s="48">
        <f>IF(S13="","",ROUND(S13-R13-IF(I13="",0,I13)-IF(C13="Digital",0,IF(J13="",0,J13)),2))</f>
      </c>
      <c r="U13" s="50">
        <f>IF(S13="","",IF(S13=0,0,T13/S13))</f>
      </c>
    </row>
    <row r="14" ht="18" customHeight="1" spans="1:21" s="40" customFormat="1" x14ac:dyDescent="0.25">
      <c r="A14" s="41">
        <v>13</v>
      </c>
      <c r="B14" s="30"/>
      <c r="C14" s="30" t="s">
        <v>108</v>
      </c>
      <c r="D14" s="42">
        <v>1</v>
      </c>
      <c r="E14" s="32"/>
      <c r="F14" s="32"/>
      <c r="G14" s="32"/>
      <c r="H14" s="31"/>
      <c r="I14" s="32"/>
      <c r="J14" s="32"/>
      <c r="K14" s="30" t="s">
        <v>109</v>
      </c>
      <c r="L14" s="43">
        <f>ROUND(Settings!$F$15*Settings!$F$19*IF(D14="",1,D14),2)</f>
      </c>
      <c r="M14" s="43">
        <f>IF(S14="","",ROUND(S14*Settings!$F$6,2))</f>
      </c>
      <c r="N14" s="43">
        <f>IF(S14="","",ROUND(S14*IF(Settings!$B$3="Domestic buyer",Settings!$F$7,Settings!$F$9)+IF(Settings!$B$3="Domestic buyer",Settings!$F$8,Settings!$F$10),2))</f>
      </c>
      <c r="O14" s="43">
        <f>IF(S14="","",IF(Settings!$F$11="",0,ROUND(S14*Settings!$F$11,2)))</f>
      </c>
      <c r="P14" s="43">
        <f>IF(S14="","",IF(Settings!$F$12="",0,ROUND((L14+M14+N14+O14+Q14)*Settings!$F$12,2)))</f>
      </c>
      <c r="Q14" s="43">
        <f>IF(S14="","",IF(K14="No",0,ROUND(MIN(S14/Settings!$F$19*IF(K14="15%",Settings!$F$16,Settings!$F$17),Settings!$F$18)*Settings!$F$19,2)))</f>
      </c>
      <c r="R14" s="44">
        <f>IF(S14="","",ROUND(L14+M14+N14+O14+P14+Q14,2))</f>
      </c>
      <c r="S14" s="43">
        <f>IF(E14="","",ROUND(E14*(1-IF(H14="",0,H14))+IF(C14="Digital",0,IF(F14="",0,F14)+IF(G14="",0,G14)),2))</f>
      </c>
      <c r="T14" s="43">
        <f>IF(S14="","",ROUND(S14-R14-IF(I14="",0,I14)-IF(C14="Digital",0,IF(J14="",0,J14)),2))</f>
      </c>
      <c r="U14" s="45">
        <f>IF(S14="","",IF(S14=0,0,T14/S14))</f>
      </c>
    </row>
    <row r="15" ht="18" customHeight="1" spans="1:21" x14ac:dyDescent="0.25">
      <c r="A15" s="46">
        <v>14</v>
      </c>
      <c r="B15" s="35"/>
      <c r="C15" s="35" t="s">
        <v>108</v>
      </c>
      <c r="D15" s="47">
        <v>1</v>
      </c>
      <c r="E15" s="37"/>
      <c r="F15" s="37"/>
      <c r="G15" s="37"/>
      <c r="H15" s="36"/>
      <c r="I15" s="37"/>
      <c r="J15" s="37"/>
      <c r="K15" s="35" t="s">
        <v>109</v>
      </c>
      <c r="L15" s="48">
        <f>ROUND(Settings!$F$15*Settings!$F$19*IF(D15="",1,D15),2)</f>
      </c>
      <c r="M15" s="48">
        <f>IF(S15="","",ROUND(S15*Settings!$F$6,2))</f>
      </c>
      <c r="N15" s="48">
        <f>IF(S15="","",ROUND(S15*IF(Settings!$B$3="Domestic buyer",Settings!$F$7,Settings!$F$9)+IF(Settings!$B$3="Domestic buyer",Settings!$F$8,Settings!$F$10),2))</f>
      </c>
      <c r="O15" s="48">
        <f>IF(S15="","",IF(Settings!$F$11="",0,ROUND(S15*Settings!$F$11,2)))</f>
      </c>
      <c r="P15" s="48">
        <f>IF(S15="","",IF(Settings!$F$12="",0,ROUND((L15+M15+N15+O15+Q15)*Settings!$F$12,2)))</f>
      </c>
      <c r="Q15" s="48">
        <f>IF(S15="","",IF(K15="No",0,ROUND(MIN(S15/Settings!$F$19*IF(K15="15%",Settings!$F$16,Settings!$F$17),Settings!$F$18)*Settings!$F$19,2)))</f>
      </c>
      <c r="R15" s="49">
        <f>IF(S15="","",ROUND(L15+M15+N15+O15+P15+Q15,2))</f>
      </c>
      <c r="S15" s="48">
        <f>IF(E15="","",ROUND(E15*(1-IF(H15="",0,H15))+IF(C15="Digital",0,IF(F15="",0,F15)+IF(G15="",0,G15)),2))</f>
      </c>
      <c r="T15" s="48">
        <f>IF(S15="","",ROUND(S15-R15-IF(I15="",0,I15)-IF(C15="Digital",0,IF(J15="",0,J15)),2))</f>
      </c>
      <c r="U15" s="50">
        <f>IF(S15="","",IF(S15=0,0,T15/S15))</f>
      </c>
    </row>
    <row r="16" ht="18" customHeight="1" spans="1:21" s="40" customFormat="1" x14ac:dyDescent="0.25">
      <c r="A16" s="41">
        <v>15</v>
      </c>
      <c r="B16" s="30"/>
      <c r="C16" s="30" t="s">
        <v>108</v>
      </c>
      <c r="D16" s="42">
        <v>1</v>
      </c>
      <c r="E16" s="32"/>
      <c r="F16" s="32"/>
      <c r="G16" s="32"/>
      <c r="H16" s="31"/>
      <c r="I16" s="32"/>
      <c r="J16" s="32"/>
      <c r="K16" s="30" t="s">
        <v>109</v>
      </c>
      <c r="L16" s="43">
        <f>ROUND(Settings!$F$15*Settings!$F$19*IF(D16="",1,D16),2)</f>
      </c>
      <c r="M16" s="43">
        <f>IF(S16="","",ROUND(S16*Settings!$F$6,2))</f>
      </c>
      <c r="N16" s="43">
        <f>IF(S16="","",ROUND(S16*IF(Settings!$B$3="Domestic buyer",Settings!$F$7,Settings!$F$9)+IF(Settings!$B$3="Domestic buyer",Settings!$F$8,Settings!$F$10),2))</f>
      </c>
      <c r="O16" s="43">
        <f>IF(S16="","",IF(Settings!$F$11="",0,ROUND(S16*Settings!$F$11,2)))</f>
      </c>
      <c r="P16" s="43">
        <f>IF(S16="","",IF(Settings!$F$12="",0,ROUND((L16+M16+N16+O16+Q16)*Settings!$F$12,2)))</f>
      </c>
      <c r="Q16" s="43">
        <f>IF(S16="","",IF(K16="No",0,ROUND(MIN(S16/Settings!$F$19*IF(K16="15%",Settings!$F$16,Settings!$F$17),Settings!$F$18)*Settings!$F$19,2)))</f>
      </c>
      <c r="R16" s="44">
        <f>IF(S16="","",ROUND(L16+M16+N16+O16+P16+Q16,2))</f>
      </c>
      <c r="S16" s="43">
        <f>IF(E16="","",ROUND(E16*(1-IF(H16="",0,H16))+IF(C16="Digital",0,IF(F16="",0,F16)+IF(G16="",0,G16)),2))</f>
      </c>
      <c r="T16" s="43">
        <f>IF(S16="","",ROUND(S16-R16-IF(I16="",0,I16)-IF(C16="Digital",0,IF(J16="",0,J16)),2))</f>
      </c>
      <c r="U16" s="45">
        <f>IF(S16="","",IF(S16=0,0,T16/S16))</f>
      </c>
    </row>
    <row r="17" ht="18" customHeight="1" spans="1:21" x14ac:dyDescent="0.25">
      <c r="A17" s="46">
        <v>16</v>
      </c>
      <c r="B17" s="35"/>
      <c r="C17" s="35" t="s">
        <v>108</v>
      </c>
      <c r="D17" s="47">
        <v>1</v>
      </c>
      <c r="E17" s="37"/>
      <c r="F17" s="37"/>
      <c r="G17" s="37"/>
      <c r="H17" s="36"/>
      <c r="I17" s="37"/>
      <c r="J17" s="37"/>
      <c r="K17" s="35" t="s">
        <v>109</v>
      </c>
      <c r="L17" s="48">
        <f>ROUND(Settings!$F$15*Settings!$F$19*IF(D17="",1,D17),2)</f>
      </c>
      <c r="M17" s="48">
        <f>IF(S17="","",ROUND(S17*Settings!$F$6,2))</f>
      </c>
      <c r="N17" s="48">
        <f>IF(S17="","",ROUND(S17*IF(Settings!$B$3="Domestic buyer",Settings!$F$7,Settings!$F$9)+IF(Settings!$B$3="Domestic buyer",Settings!$F$8,Settings!$F$10),2))</f>
      </c>
      <c r="O17" s="48">
        <f>IF(S17="","",IF(Settings!$F$11="",0,ROUND(S17*Settings!$F$11,2)))</f>
      </c>
      <c r="P17" s="48">
        <f>IF(S17="","",IF(Settings!$F$12="",0,ROUND((L17+M17+N17+O17+Q17)*Settings!$F$12,2)))</f>
      </c>
      <c r="Q17" s="48">
        <f>IF(S17="","",IF(K17="No",0,ROUND(MIN(S17/Settings!$F$19*IF(K17="15%",Settings!$F$16,Settings!$F$17),Settings!$F$18)*Settings!$F$19,2)))</f>
      </c>
      <c r="R17" s="49">
        <f>IF(S17="","",ROUND(L17+M17+N17+O17+P17+Q17,2))</f>
      </c>
      <c r="S17" s="48">
        <f>IF(E17="","",ROUND(E17*(1-IF(H17="",0,H17))+IF(C17="Digital",0,IF(F17="",0,F17)+IF(G17="",0,G17)),2))</f>
      </c>
      <c r="T17" s="48">
        <f>IF(S17="","",ROUND(S17-R17-IF(I17="",0,I17)-IF(C17="Digital",0,IF(J17="",0,J17)),2))</f>
      </c>
      <c r="U17" s="50">
        <f>IF(S17="","",IF(S17=0,0,T17/S17))</f>
      </c>
    </row>
    <row r="18" ht="18" customHeight="1" spans="1:21" s="40" customFormat="1" x14ac:dyDescent="0.25">
      <c r="A18" s="41">
        <v>17</v>
      </c>
      <c r="B18" s="30"/>
      <c r="C18" s="30" t="s">
        <v>108</v>
      </c>
      <c r="D18" s="42">
        <v>1</v>
      </c>
      <c r="E18" s="32"/>
      <c r="F18" s="32"/>
      <c r="G18" s="32"/>
      <c r="H18" s="31"/>
      <c r="I18" s="32"/>
      <c r="J18" s="32"/>
      <c r="K18" s="30" t="s">
        <v>109</v>
      </c>
      <c r="L18" s="43">
        <f>ROUND(Settings!$F$15*Settings!$F$19*IF(D18="",1,D18),2)</f>
      </c>
      <c r="M18" s="43">
        <f>IF(S18="","",ROUND(S18*Settings!$F$6,2))</f>
      </c>
      <c r="N18" s="43">
        <f>IF(S18="","",ROUND(S18*IF(Settings!$B$3="Domestic buyer",Settings!$F$7,Settings!$F$9)+IF(Settings!$B$3="Domestic buyer",Settings!$F$8,Settings!$F$10),2))</f>
      </c>
      <c r="O18" s="43">
        <f>IF(S18="","",IF(Settings!$F$11="",0,ROUND(S18*Settings!$F$11,2)))</f>
      </c>
      <c r="P18" s="43">
        <f>IF(S18="","",IF(Settings!$F$12="",0,ROUND((L18+M18+N18+O18+Q18)*Settings!$F$12,2)))</f>
      </c>
      <c r="Q18" s="43">
        <f>IF(S18="","",IF(K18="No",0,ROUND(MIN(S18/Settings!$F$19*IF(K18="15%",Settings!$F$16,Settings!$F$17),Settings!$F$18)*Settings!$F$19,2)))</f>
      </c>
      <c r="R18" s="44">
        <f>IF(S18="","",ROUND(L18+M18+N18+O18+P18+Q18,2))</f>
      </c>
      <c r="S18" s="43">
        <f>IF(E18="","",ROUND(E18*(1-IF(H18="",0,H18))+IF(C18="Digital",0,IF(F18="",0,F18)+IF(G18="",0,G18)),2))</f>
      </c>
      <c r="T18" s="43">
        <f>IF(S18="","",ROUND(S18-R18-IF(I18="",0,I18)-IF(C18="Digital",0,IF(J18="",0,J18)),2))</f>
      </c>
      <c r="U18" s="45">
        <f>IF(S18="","",IF(S18=0,0,T18/S18))</f>
      </c>
    </row>
    <row r="19" ht="18" customHeight="1" spans="1:21" x14ac:dyDescent="0.25">
      <c r="A19" s="46">
        <v>18</v>
      </c>
      <c r="B19" s="35"/>
      <c r="C19" s="35" t="s">
        <v>108</v>
      </c>
      <c r="D19" s="47">
        <v>1</v>
      </c>
      <c r="E19" s="37"/>
      <c r="F19" s="37"/>
      <c r="G19" s="37"/>
      <c r="H19" s="36"/>
      <c r="I19" s="37"/>
      <c r="J19" s="37"/>
      <c r="K19" s="35" t="s">
        <v>109</v>
      </c>
      <c r="L19" s="48">
        <f>ROUND(Settings!$F$15*Settings!$F$19*IF(D19="",1,D19),2)</f>
      </c>
      <c r="M19" s="48">
        <f>IF(S19="","",ROUND(S19*Settings!$F$6,2))</f>
      </c>
      <c r="N19" s="48">
        <f>IF(S19="","",ROUND(S19*IF(Settings!$B$3="Domestic buyer",Settings!$F$7,Settings!$F$9)+IF(Settings!$B$3="Domestic buyer",Settings!$F$8,Settings!$F$10),2))</f>
      </c>
      <c r="O19" s="48">
        <f>IF(S19="","",IF(Settings!$F$11="",0,ROUND(S19*Settings!$F$11,2)))</f>
      </c>
      <c r="P19" s="48">
        <f>IF(S19="","",IF(Settings!$F$12="",0,ROUND((L19+M19+N19+O19+Q19)*Settings!$F$12,2)))</f>
      </c>
      <c r="Q19" s="48">
        <f>IF(S19="","",IF(K19="No",0,ROUND(MIN(S19/Settings!$F$19*IF(K19="15%",Settings!$F$16,Settings!$F$17),Settings!$F$18)*Settings!$F$19,2)))</f>
      </c>
      <c r="R19" s="49">
        <f>IF(S19="","",ROUND(L19+M19+N19+O19+P19+Q19,2))</f>
      </c>
      <c r="S19" s="48">
        <f>IF(E19="","",ROUND(E19*(1-IF(H19="",0,H19))+IF(C19="Digital",0,IF(F19="",0,F19)+IF(G19="",0,G19)),2))</f>
      </c>
      <c r="T19" s="48">
        <f>IF(S19="","",ROUND(S19-R19-IF(I19="",0,I19)-IF(C19="Digital",0,IF(J19="",0,J19)),2))</f>
      </c>
      <c r="U19" s="50">
        <f>IF(S19="","",IF(S19=0,0,T19/S19))</f>
      </c>
    </row>
    <row r="20" ht="18" customHeight="1" spans="1:21" s="40" customFormat="1" x14ac:dyDescent="0.25">
      <c r="A20" s="41">
        <v>19</v>
      </c>
      <c r="B20" s="30"/>
      <c r="C20" s="30" t="s">
        <v>108</v>
      </c>
      <c r="D20" s="42">
        <v>1</v>
      </c>
      <c r="E20" s="32"/>
      <c r="F20" s="32"/>
      <c r="G20" s="32"/>
      <c r="H20" s="31"/>
      <c r="I20" s="32"/>
      <c r="J20" s="32"/>
      <c r="K20" s="30" t="s">
        <v>109</v>
      </c>
      <c r="L20" s="43">
        <f>ROUND(Settings!$F$15*Settings!$F$19*IF(D20="",1,D20),2)</f>
      </c>
      <c r="M20" s="43">
        <f>IF(S20="","",ROUND(S20*Settings!$F$6,2))</f>
      </c>
      <c r="N20" s="43">
        <f>IF(S20="","",ROUND(S20*IF(Settings!$B$3="Domestic buyer",Settings!$F$7,Settings!$F$9)+IF(Settings!$B$3="Domestic buyer",Settings!$F$8,Settings!$F$10),2))</f>
      </c>
      <c r="O20" s="43">
        <f>IF(S20="","",IF(Settings!$F$11="",0,ROUND(S20*Settings!$F$11,2)))</f>
      </c>
      <c r="P20" s="43">
        <f>IF(S20="","",IF(Settings!$F$12="",0,ROUND((L20+M20+N20+O20+Q20)*Settings!$F$12,2)))</f>
      </c>
      <c r="Q20" s="43">
        <f>IF(S20="","",IF(K20="No",0,ROUND(MIN(S20/Settings!$F$19*IF(K20="15%",Settings!$F$16,Settings!$F$17),Settings!$F$18)*Settings!$F$19,2)))</f>
      </c>
      <c r="R20" s="44">
        <f>IF(S20="","",ROUND(L20+M20+N20+O20+P20+Q20,2))</f>
      </c>
      <c r="S20" s="43">
        <f>IF(E20="","",ROUND(E20*(1-IF(H20="",0,H20))+IF(C20="Digital",0,IF(F20="",0,F20)+IF(G20="",0,G20)),2))</f>
      </c>
      <c r="T20" s="43">
        <f>IF(S20="","",ROUND(S20-R20-IF(I20="",0,I20)-IF(C20="Digital",0,IF(J20="",0,J20)),2))</f>
      </c>
      <c r="U20" s="45">
        <f>IF(S20="","",IF(S20=0,0,T20/S20))</f>
      </c>
    </row>
    <row r="21" ht="18" customHeight="1" spans="1:21" x14ac:dyDescent="0.25">
      <c r="A21" s="46">
        <v>20</v>
      </c>
      <c r="B21" s="35"/>
      <c r="C21" s="35" t="s">
        <v>108</v>
      </c>
      <c r="D21" s="47">
        <v>1</v>
      </c>
      <c r="E21" s="37"/>
      <c r="F21" s="37"/>
      <c r="G21" s="37"/>
      <c r="H21" s="36"/>
      <c r="I21" s="37"/>
      <c r="J21" s="37"/>
      <c r="K21" s="35" t="s">
        <v>109</v>
      </c>
      <c r="L21" s="48">
        <f>ROUND(Settings!$F$15*Settings!$F$19*IF(D21="",1,D21),2)</f>
      </c>
      <c r="M21" s="48">
        <f>IF(S21="","",ROUND(S21*Settings!$F$6,2))</f>
      </c>
      <c r="N21" s="48">
        <f>IF(S21="","",ROUND(S21*IF(Settings!$B$3="Domestic buyer",Settings!$F$7,Settings!$F$9)+IF(Settings!$B$3="Domestic buyer",Settings!$F$8,Settings!$F$10),2))</f>
      </c>
      <c r="O21" s="48">
        <f>IF(S21="","",IF(Settings!$F$11="",0,ROUND(S21*Settings!$F$11,2)))</f>
      </c>
      <c r="P21" s="48">
        <f>IF(S21="","",IF(Settings!$F$12="",0,ROUND((L21+M21+N21+O21+Q21)*Settings!$F$12,2)))</f>
      </c>
      <c r="Q21" s="48">
        <f>IF(S21="","",IF(K21="No",0,ROUND(MIN(S21/Settings!$F$19*IF(K21="15%",Settings!$F$16,Settings!$F$17),Settings!$F$18)*Settings!$F$19,2)))</f>
      </c>
      <c r="R21" s="49">
        <f>IF(S21="","",ROUND(L21+M21+N21+O21+P21+Q21,2))</f>
      </c>
      <c r="S21" s="48">
        <f>IF(E21="","",ROUND(E21*(1-IF(H21="",0,H21))+IF(C21="Digital",0,IF(F21="",0,F21)+IF(G21="",0,G21)),2))</f>
      </c>
      <c r="T21" s="48">
        <f>IF(S21="","",ROUND(S21-R21-IF(I21="",0,I21)-IF(C21="Digital",0,IF(J21="",0,J21)),2))</f>
      </c>
      <c r="U21" s="50">
        <f>IF(S21="","",IF(S21=0,0,T21/S21))</f>
      </c>
    </row>
    <row r="22" ht="18" customHeight="1" spans="1:21" s="40" customFormat="1" x14ac:dyDescent="0.25">
      <c r="A22" s="41">
        <v>21</v>
      </c>
      <c r="B22" s="30"/>
      <c r="C22" s="30" t="s">
        <v>108</v>
      </c>
      <c r="D22" s="42">
        <v>1</v>
      </c>
      <c r="E22" s="32"/>
      <c r="F22" s="32"/>
      <c r="G22" s="32"/>
      <c r="H22" s="31"/>
      <c r="I22" s="32"/>
      <c r="J22" s="32"/>
      <c r="K22" s="30" t="s">
        <v>109</v>
      </c>
      <c r="L22" s="43">
        <f>ROUND(Settings!$F$15*Settings!$F$19*IF(D22="",1,D22),2)</f>
      </c>
      <c r="M22" s="43">
        <f>IF(S22="","",ROUND(S22*Settings!$F$6,2))</f>
      </c>
      <c r="N22" s="43">
        <f>IF(S22="","",ROUND(S22*IF(Settings!$B$3="Domestic buyer",Settings!$F$7,Settings!$F$9)+IF(Settings!$B$3="Domestic buyer",Settings!$F$8,Settings!$F$10),2))</f>
      </c>
      <c r="O22" s="43">
        <f>IF(S22="","",IF(Settings!$F$11="",0,ROUND(S22*Settings!$F$11,2)))</f>
      </c>
      <c r="P22" s="43">
        <f>IF(S22="","",IF(Settings!$F$12="",0,ROUND((L22+M22+N22+O22+Q22)*Settings!$F$12,2)))</f>
      </c>
      <c r="Q22" s="43">
        <f>IF(S22="","",IF(K22="No",0,ROUND(MIN(S22/Settings!$F$19*IF(K22="15%",Settings!$F$16,Settings!$F$17),Settings!$F$18)*Settings!$F$19,2)))</f>
      </c>
      <c r="R22" s="44">
        <f>IF(S22="","",ROUND(L22+M22+N22+O22+P22+Q22,2))</f>
      </c>
      <c r="S22" s="43">
        <f>IF(E22="","",ROUND(E22*(1-IF(H22="",0,H22))+IF(C22="Digital",0,IF(F22="",0,F22)+IF(G22="",0,G22)),2))</f>
      </c>
      <c r="T22" s="43">
        <f>IF(S22="","",ROUND(S22-R22-IF(I22="",0,I22)-IF(C22="Digital",0,IF(J22="",0,J22)),2))</f>
      </c>
      <c r="U22" s="45">
        <f>IF(S22="","",IF(S22=0,0,T22/S22))</f>
      </c>
    </row>
    <row r="23" ht="18" customHeight="1" spans="1:21" x14ac:dyDescent="0.25">
      <c r="A23" s="46">
        <v>22</v>
      </c>
      <c r="B23" s="35"/>
      <c r="C23" s="35" t="s">
        <v>108</v>
      </c>
      <c r="D23" s="47">
        <v>1</v>
      </c>
      <c r="E23" s="37"/>
      <c r="F23" s="37"/>
      <c r="G23" s="37"/>
      <c r="H23" s="36"/>
      <c r="I23" s="37"/>
      <c r="J23" s="37"/>
      <c r="K23" s="35" t="s">
        <v>109</v>
      </c>
      <c r="L23" s="48">
        <f>ROUND(Settings!$F$15*Settings!$F$19*IF(D23="",1,D23),2)</f>
      </c>
      <c r="M23" s="48">
        <f>IF(S23="","",ROUND(S23*Settings!$F$6,2))</f>
      </c>
      <c r="N23" s="48">
        <f>IF(S23="","",ROUND(S23*IF(Settings!$B$3="Domestic buyer",Settings!$F$7,Settings!$F$9)+IF(Settings!$B$3="Domestic buyer",Settings!$F$8,Settings!$F$10),2))</f>
      </c>
      <c r="O23" s="48">
        <f>IF(S23="","",IF(Settings!$F$11="",0,ROUND(S23*Settings!$F$11,2)))</f>
      </c>
      <c r="P23" s="48">
        <f>IF(S23="","",IF(Settings!$F$12="",0,ROUND((L23+M23+N23+O23+Q23)*Settings!$F$12,2)))</f>
      </c>
      <c r="Q23" s="48">
        <f>IF(S23="","",IF(K23="No",0,ROUND(MIN(S23/Settings!$F$19*IF(K23="15%",Settings!$F$16,Settings!$F$17),Settings!$F$18)*Settings!$F$19,2)))</f>
      </c>
      <c r="R23" s="49">
        <f>IF(S23="","",ROUND(L23+M23+N23+O23+P23+Q23,2))</f>
      </c>
      <c r="S23" s="48">
        <f>IF(E23="","",ROUND(E23*(1-IF(H23="",0,H23))+IF(C23="Digital",0,IF(F23="",0,F23)+IF(G23="",0,G23)),2))</f>
      </c>
      <c r="T23" s="48">
        <f>IF(S23="","",ROUND(S23-R23-IF(I23="",0,I23)-IF(C23="Digital",0,IF(J23="",0,J23)),2))</f>
      </c>
      <c r="U23" s="50">
        <f>IF(S23="","",IF(S23=0,0,T23/S23))</f>
      </c>
    </row>
    <row r="24" ht="18" customHeight="1" spans="1:21" s="40" customFormat="1" x14ac:dyDescent="0.25">
      <c r="A24" s="41">
        <v>23</v>
      </c>
      <c r="B24" s="30"/>
      <c r="C24" s="30" t="s">
        <v>108</v>
      </c>
      <c r="D24" s="42">
        <v>1</v>
      </c>
      <c r="E24" s="32"/>
      <c r="F24" s="32"/>
      <c r="G24" s="32"/>
      <c r="H24" s="31"/>
      <c r="I24" s="32"/>
      <c r="J24" s="32"/>
      <c r="K24" s="30" t="s">
        <v>109</v>
      </c>
      <c r="L24" s="43">
        <f>ROUND(Settings!$F$15*Settings!$F$19*IF(D24="",1,D24),2)</f>
      </c>
      <c r="M24" s="43">
        <f>IF(S24="","",ROUND(S24*Settings!$F$6,2))</f>
      </c>
      <c r="N24" s="43">
        <f>IF(S24="","",ROUND(S24*IF(Settings!$B$3="Domestic buyer",Settings!$F$7,Settings!$F$9)+IF(Settings!$B$3="Domestic buyer",Settings!$F$8,Settings!$F$10),2))</f>
      </c>
      <c r="O24" s="43">
        <f>IF(S24="","",IF(Settings!$F$11="",0,ROUND(S24*Settings!$F$11,2)))</f>
      </c>
      <c r="P24" s="43">
        <f>IF(S24="","",IF(Settings!$F$12="",0,ROUND((L24+M24+N24+O24+Q24)*Settings!$F$12,2)))</f>
      </c>
      <c r="Q24" s="43">
        <f>IF(S24="","",IF(K24="No",0,ROUND(MIN(S24/Settings!$F$19*IF(K24="15%",Settings!$F$16,Settings!$F$17),Settings!$F$18)*Settings!$F$19,2)))</f>
      </c>
      <c r="R24" s="44">
        <f>IF(S24="","",ROUND(L24+M24+N24+O24+P24+Q24,2))</f>
      </c>
      <c r="S24" s="43">
        <f>IF(E24="","",ROUND(E24*(1-IF(H24="",0,H24))+IF(C24="Digital",0,IF(F24="",0,F24)+IF(G24="",0,G24)),2))</f>
      </c>
      <c r="T24" s="43">
        <f>IF(S24="","",ROUND(S24-R24-IF(I24="",0,I24)-IF(C24="Digital",0,IF(J24="",0,J24)),2))</f>
      </c>
      <c r="U24" s="45">
        <f>IF(S24="","",IF(S24=0,0,T24/S24))</f>
      </c>
    </row>
    <row r="25" ht="18" customHeight="1" spans="1:21" x14ac:dyDescent="0.25">
      <c r="A25" s="46">
        <v>24</v>
      </c>
      <c r="B25" s="35"/>
      <c r="C25" s="35" t="s">
        <v>108</v>
      </c>
      <c r="D25" s="47">
        <v>1</v>
      </c>
      <c r="E25" s="37"/>
      <c r="F25" s="37"/>
      <c r="G25" s="37"/>
      <c r="H25" s="36"/>
      <c r="I25" s="37"/>
      <c r="J25" s="37"/>
      <c r="K25" s="35" t="s">
        <v>109</v>
      </c>
      <c r="L25" s="48">
        <f>ROUND(Settings!$F$15*Settings!$F$19*IF(D25="",1,D25),2)</f>
      </c>
      <c r="M25" s="48">
        <f>IF(S25="","",ROUND(S25*Settings!$F$6,2))</f>
      </c>
      <c r="N25" s="48">
        <f>IF(S25="","",ROUND(S25*IF(Settings!$B$3="Domestic buyer",Settings!$F$7,Settings!$F$9)+IF(Settings!$B$3="Domestic buyer",Settings!$F$8,Settings!$F$10),2))</f>
      </c>
      <c r="O25" s="48">
        <f>IF(S25="","",IF(Settings!$F$11="",0,ROUND(S25*Settings!$F$11,2)))</f>
      </c>
      <c r="P25" s="48">
        <f>IF(S25="","",IF(Settings!$F$12="",0,ROUND((L25+M25+N25+O25+Q25)*Settings!$F$12,2)))</f>
      </c>
      <c r="Q25" s="48">
        <f>IF(S25="","",IF(K25="No",0,ROUND(MIN(S25/Settings!$F$19*IF(K25="15%",Settings!$F$16,Settings!$F$17),Settings!$F$18)*Settings!$F$19,2)))</f>
      </c>
      <c r="R25" s="49">
        <f>IF(S25="","",ROUND(L25+M25+N25+O25+P25+Q25,2))</f>
      </c>
      <c r="S25" s="48">
        <f>IF(E25="","",ROUND(E25*(1-IF(H25="",0,H25))+IF(C25="Digital",0,IF(F25="",0,F25)+IF(G25="",0,G25)),2))</f>
      </c>
      <c r="T25" s="48">
        <f>IF(S25="","",ROUND(S25-R25-IF(I25="",0,I25)-IF(C25="Digital",0,IF(J25="",0,J25)),2))</f>
      </c>
      <c r="U25" s="50">
        <f>IF(S25="","",IF(S25=0,0,T25/S25))</f>
      </c>
    </row>
    <row r="26" ht="18" customHeight="1" spans="1:21" s="40" customFormat="1" x14ac:dyDescent="0.25">
      <c r="A26" s="41">
        <v>25</v>
      </c>
      <c r="B26" s="30"/>
      <c r="C26" s="30" t="s">
        <v>108</v>
      </c>
      <c r="D26" s="42">
        <v>1</v>
      </c>
      <c r="E26" s="32"/>
      <c r="F26" s="32"/>
      <c r="G26" s="32"/>
      <c r="H26" s="31"/>
      <c r="I26" s="32"/>
      <c r="J26" s="32"/>
      <c r="K26" s="30" t="s">
        <v>109</v>
      </c>
      <c r="L26" s="43">
        <f>ROUND(Settings!$F$15*Settings!$F$19*IF(D26="",1,D26),2)</f>
      </c>
      <c r="M26" s="43">
        <f>IF(S26="","",ROUND(S26*Settings!$F$6,2))</f>
      </c>
      <c r="N26" s="43">
        <f>IF(S26="","",ROUND(S26*IF(Settings!$B$3="Domestic buyer",Settings!$F$7,Settings!$F$9)+IF(Settings!$B$3="Domestic buyer",Settings!$F$8,Settings!$F$10),2))</f>
      </c>
      <c r="O26" s="43">
        <f>IF(S26="","",IF(Settings!$F$11="",0,ROUND(S26*Settings!$F$11,2)))</f>
      </c>
      <c r="P26" s="43">
        <f>IF(S26="","",IF(Settings!$F$12="",0,ROUND((L26+M26+N26+O26+Q26)*Settings!$F$12,2)))</f>
      </c>
      <c r="Q26" s="43">
        <f>IF(S26="","",IF(K26="No",0,ROUND(MIN(S26/Settings!$F$19*IF(K26="15%",Settings!$F$16,Settings!$F$17),Settings!$F$18)*Settings!$F$19,2)))</f>
      </c>
      <c r="R26" s="44">
        <f>IF(S26="","",ROUND(L26+M26+N26+O26+P26+Q26,2))</f>
      </c>
      <c r="S26" s="43">
        <f>IF(E26="","",ROUND(E26*(1-IF(H26="",0,H26))+IF(C26="Digital",0,IF(F26="",0,F26)+IF(G26="",0,G26)),2))</f>
      </c>
      <c r="T26" s="43">
        <f>IF(S26="","",ROUND(S26-R26-IF(I26="",0,I26)-IF(C26="Digital",0,IF(J26="",0,J26)),2))</f>
      </c>
      <c r="U26" s="45">
        <f>IF(S26="","",IF(S26=0,0,T26/S26))</f>
      </c>
    </row>
    <row r="27" ht="18" customHeight="1" spans="1:21" x14ac:dyDescent="0.25">
      <c r="A27" s="46">
        <v>26</v>
      </c>
      <c r="B27" s="35"/>
      <c r="C27" s="35" t="s">
        <v>108</v>
      </c>
      <c r="D27" s="47">
        <v>1</v>
      </c>
      <c r="E27" s="37"/>
      <c r="F27" s="37"/>
      <c r="G27" s="37"/>
      <c r="H27" s="36"/>
      <c r="I27" s="37"/>
      <c r="J27" s="37"/>
      <c r="K27" s="35" t="s">
        <v>109</v>
      </c>
      <c r="L27" s="48">
        <f>ROUND(Settings!$F$15*Settings!$F$19*IF(D27="",1,D27),2)</f>
      </c>
      <c r="M27" s="48">
        <f>IF(S27="","",ROUND(S27*Settings!$F$6,2))</f>
      </c>
      <c r="N27" s="48">
        <f>IF(S27="","",ROUND(S27*IF(Settings!$B$3="Domestic buyer",Settings!$F$7,Settings!$F$9)+IF(Settings!$B$3="Domestic buyer",Settings!$F$8,Settings!$F$10),2))</f>
      </c>
      <c r="O27" s="48">
        <f>IF(S27="","",IF(Settings!$F$11="",0,ROUND(S27*Settings!$F$11,2)))</f>
      </c>
      <c r="P27" s="48">
        <f>IF(S27="","",IF(Settings!$F$12="",0,ROUND((L27+M27+N27+O27+Q27)*Settings!$F$12,2)))</f>
      </c>
      <c r="Q27" s="48">
        <f>IF(S27="","",IF(K27="No",0,ROUND(MIN(S27/Settings!$F$19*IF(K27="15%",Settings!$F$16,Settings!$F$17),Settings!$F$18)*Settings!$F$19,2)))</f>
      </c>
      <c r="R27" s="49">
        <f>IF(S27="","",ROUND(L27+M27+N27+O27+P27+Q27,2))</f>
      </c>
      <c r="S27" s="48">
        <f>IF(E27="","",ROUND(E27*(1-IF(H27="",0,H27))+IF(C27="Digital",0,IF(F27="",0,F27)+IF(G27="",0,G27)),2))</f>
      </c>
      <c r="T27" s="48">
        <f>IF(S27="","",ROUND(S27-R27-IF(I27="",0,I27)-IF(C27="Digital",0,IF(J27="",0,J27)),2))</f>
      </c>
      <c r="U27" s="50">
        <f>IF(S27="","",IF(S27=0,0,T27/S27))</f>
      </c>
    </row>
    <row r="28" ht="18" customHeight="1" spans="1:21" s="40" customFormat="1" x14ac:dyDescent="0.25">
      <c r="A28" s="41">
        <v>27</v>
      </c>
      <c r="B28" s="30"/>
      <c r="C28" s="30" t="s">
        <v>108</v>
      </c>
      <c r="D28" s="42">
        <v>1</v>
      </c>
      <c r="E28" s="32"/>
      <c r="F28" s="32"/>
      <c r="G28" s="32"/>
      <c r="H28" s="31"/>
      <c r="I28" s="32"/>
      <c r="J28" s="32"/>
      <c r="K28" s="30" t="s">
        <v>109</v>
      </c>
      <c r="L28" s="43">
        <f>ROUND(Settings!$F$15*Settings!$F$19*IF(D28="",1,D28),2)</f>
      </c>
      <c r="M28" s="43">
        <f>IF(S28="","",ROUND(S28*Settings!$F$6,2))</f>
      </c>
      <c r="N28" s="43">
        <f>IF(S28="","",ROUND(S28*IF(Settings!$B$3="Domestic buyer",Settings!$F$7,Settings!$F$9)+IF(Settings!$B$3="Domestic buyer",Settings!$F$8,Settings!$F$10),2))</f>
      </c>
      <c r="O28" s="43">
        <f>IF(S28="","",IF(Settings!$F$11="",0,ROUND(S28*Settings!$F$11,2)))</f>
      </c>
      <c r="P28" s="43">
        <f>IF(S28="","",IF(Settings!$F$12="",0,ROUND((L28+M28+N28+O28+Q28)*Settings!$F$12,2)))</f>
      </c>
      <c r="Q28" s="43">
        <f>IF(S28="","",IF(K28="No",0,ROUND(MIN(S28/Settings!$F$19*IF(K28="15%",Settings!$F$16,Settings!$F$17),Settings!$F$18)*Settings!$F$19,2)))</f>
      </c>
      <c r="R28" s="44">
        <f>IF(S28="","",ROUND(L28+M28+N28+O28+P28+Q28,2))</f>
      </c>
      <c r="S28" s="43">
        <f>IF(E28="","",ROUND(E28*(1-IF(H28="",0,H28))+IF(C28="Digital",0,IF(F28="",0,F28)+IF(G28="",0,G28)),2))</f>
      </c>
      <c r="T28" s="43">
        <f>IF(S28="","",ROUND(S28-R28-IF(I28="",0,I28)-IF(C28="Digital",0,IF(J28="",0,J28)),2))</f>
      </c>
      <c r="U28" s="45">
        <f>IF(S28="","",IF(S28=0,0,T28/S28))</f>
      </c>
    </row>
    <row r="29" ht="18" customHeight="1" spans="1:21" x14ac:dyDescent="0.25">
      <c r="A29" s="46">
        <v>28</v>
      </c>
      <c r="B29" s="35"/>
      <c r="C29" s="35" t="s">
        <v>108</v>
      </c>
      <c r="D29" s="47">
        <v>1</v>
      </c>
      <c r="E29" s="37"/>
      <c r="F29" s="37"/>
      <c r="G29" s="37"/>
      <c r="H29" s="36"/>
      <c r="I29" s="37"/>
      <c r="J29" s="37"/>
      <c r="K29" s="35" t="s">
        <v>109</v>
      </c>
      <c r="L29" s="48">
        <f>ROUND(Settings!$F$15*Settings!$F$19*IF(D29="",1,D29),2)</f>
      </c>
      <c r="M29" s="48">
        <f>IF(S29="","",ROUND(S29*Settings!$F$6,2))</f>
      </c>
      <c r="N29" s="48">
        <f>IF(S29="","",ROUND(S29*IF(Settings!$B$3="Domestic buyer",Settings!$F$7,Settings!$F$9)+IF(Settings!$B$3="Domestic buyer",Settings!$F$8,Settings!$F$10),2))</f>
      </c>
      <c r="O29" s="48">
        <f>IF(S29="","",IF(Settings!$F$11="",0,ROUND(S29*Settings!$F$11,2)))</f>
      </c>
      <c r="P29" s="48">
        <f>IF(S29="","",IF(Settings!$F$12="",0,ROUND((L29+M29+N29+O29+Q29)*Settings!$F$12,2)))</f>
      </c>
      <c r="Q29" s="48">
        <f>IF(S29="","",IF(K29="No",0,ROUND(MIN(S29/Settings!$F$19*IF(K29="15%",Settings!$F$16,Settings!$F$17),Settings!$F$18)*Settings!$F$19,2)))</f>
      </c>
      <c r="R29" s="49">
        <f>IF(S29="","",ROUND(L29+M29+N29+O29+P29+Q29,2))</f>
      </c>
      <c r="S29" s="48">
        <f>IF(E29="","",ROUND(E29*(1-IF(H29="",0,H29))+IF(C29="Digital",0,IF(F29="",0,F29)+IF(G29="",0,G29)),2))</f>
      </c>
      <c r="T29" s="48">
        <f>IF(S29="","",ROUND(S29-R29-IF(I29="",0,I29)-IF(C29="Digital",0,IF(J29="",0,J29)),2))</f>
      </c>
      <c r="U29" s="50">
        <f>IF(S29="","",IF(S29=0,0,T29/S29))</f>
      </c>
    </row>
    <row r="30" ht="18" customHeight="1" spans="1:21" s="40" customFormat="1" x14ac:dyDescent="0.25">
      <c r="A30" s="41">
        <v>29</v>
      </c>
      <c r="B30" s="30"/>
      <c r="C30" s="30" t="s">
        <v>108</v>
      </c>
      <c r="D30" s="42">
        <v>1</v>
      </c>
      <c r="E30" s="32"/>
      <c r="F30" s="32"/>
      <c r="G30" s="32"/>
      <c r="H30" s="31"/>
      <c r="I30" s="32"/>
      <c r="J30" s="32"/>
      <c r="K30" s="30" t="s">
        <v>109</v>
      </c>
      <c r="L30" s="43">
        <f>ROUND(Settings!$F$15*Settings!$F$19*IF(D30="",1,D30),2)</f>
      </c>
      <c r="M30" s="43">
        <f>IF(S30="","",ROUND(S30*Settings!$F$6,2))</f>
      </c>
      <c r="N30" s="43">
        <f>IF(S30="","",ROUND(S30*IF(Settings!$B$3="Domestic buyer",Settings!$F$7,Settings!$F$9)+IF(Settings!$B$3="Domestic buyer",Settings!$F$8,Settings!$F$10),2))</f>
      </c>
      <c r="O30" s="43">
        <f>IF(S30="","",IF(Settings!$F$11="",0,ROUND(S30*Settings!$F$11,2)))</f>
      </c>
      <c r="P30" s="43">
        <f>IF(S30="","",IF(Settings!$F$12="",0,ROUND((L30+M30+N30+O30+Q30)*Settings!$F$12,2)))</f>
      </c>
      <c r="Q30" s="43">
        <f>IF(S30="","",IF(K30="No",0,ROUND(MIN(S30/Settings!$F$19*IF(K30="15%",Settings!$F$16,Settings!$F$17),Settings!$F$18)*Settings!$F$19,2)))</f>
      </c>
      <c r="R30" s="44">
        <f>IF(S30="","",ROUND(L30+M30+N30+O30+P30+Q30,2))</f>
      </c>
      <c r="S30" s="43">
        <f>IF(E30="","",ROUND(E30*(1-IF(H30="",0,H30))+IF(C30="Digital",0,IF(F30="",0,F30)+IF(G30="",0,G30)),2))</f>
      </c>
      <c r="T30" s="43">
        <f>IF(S30="","",ROUND(S30-R30-IF(I30="",0,I30)-IF(C30="Digital",0,IF(J30="",0,J30)),2))</f>
      </c>
      <c r="U30" s="45">
        <f>IF(S30="","",IF(S30=0,0,T30/S30))</f>
      </c>
    </row>
    <row r="31" ht="18" customHeight="1" spans="1:21" x14ac:dyDescent="0.25">
      <c r="A31" s="46">
        <v>30</v>
      </c>
      <c r="B31" s="35"/>
      <c r="C31" s="35" t="s">
        <v>108</v>
      </c>
      <c r="D31" s="47">
        <v>1</v>
      </c>
      <c r="E31" s="37"/>
      <c r="F31" s="37"/>
      <c r="G31" s="37"/>
      <c r="H31" s="36"/>
      <c r="I31" s="37"/>
      <c r="J31" s="37"/>
      <c r="K31" s="35" t="s">
        <v>109</v>
      </c>
      <c r="L31" s="48">
        <f>ROUND(Settings!$F$15*Settings!$F$19*IF(D31="",1,D31),2)</f>
      </c>
      <c r="M31" s="48">
        <f>IF(S31="","",ROUND(S31*Settings!$F$6,2))</f>
      </c>
      <c r="N31" s="48">
        <f>IF(S31="","",ROUND(S31*IF(Settings!$B$3="Domestic buyer",Settings!$F$7,Settings!$F$9)+IF(Settings!$B$3="Domestic buyer",Settings!$F$8,Settings!$F$10),2))</f>
      </c>
      <c r="O31" s="48">
        <f>IF(S31="","",IF(Settings!$F$11="",0,ROUND(S31*Settings!$F$11,2)))</f>
      </c>
      <c r="P31" s="48">
        <f>IF(S31="","",IF(Settings!$F$12="",0,ROUND((L31+M31+N31+O31+Q31)*Settings!$F$12,2)))</f>
      </c>
      <c r="Q31" s="48">
        <f>IF(S31="","",IF(K31="No",0,ROUND(MIN(S31/Settings!$F$19*IF(K31="15%",Settings!$F$16,Settings!$F$17),Settings!$F$18)*Settings!$F$19,2)))</f>
      </c>
      <c r="R31" s="49">
        <f>IF(S31="","",ROUND(L31+M31+N31+O31+P31+Q31,2))</f>
      </c>
      <c r="S31" s="48">
        <f>IF(E31="","",ROUND(E31*(1-IF(H31="",0,H31))+IF(C31="Digital",0,IF(F31="",0,F31)+IF(G31="",0,G31)),2))</f>
      </c>
      <c r="T31" s="48">
        <f>IF(S31="","",ROUND(S31-R31-IF(I31="",0,I31)-IF(C31="Digital",0,IF(J31="",0,J31)),2))</f>
      </c>
      <c r="U31" s="50">
        <f>IF(S31="","",IF(S31=0,0,T31/S31))</f>
      </c>
    </row>
    <row r="32" ht="18" customHeight="1" spans="1:21" s="40" customFormat="1" x14ac:dyDescent="0.25">
      <c r="A32" s="41">
        <v>31</v>
      </c>
      <c r="B32" s="30"/>
      <c r="C32" s="30" t="s">
        <v>108</v>
      </c>
      <c r="D32" s="42">
        <v>1</v>
      </c>
      <c r="E32" s="32"/>
      <c r="F32" s="32"/>
      <c r="G32" s="32"/>
      <c r="H32" s="31"/>
      <c r="I32" s="32"/>
      <c r="J32" s="32"/>
      <c r="K32" s="30" t="s">
        <v>109</v>
      </c>
      <c r="L32" s="43">
        <f>ROUND(Settings!$F$15*Settings!$F$19*IF(D32="",1,D32),2)</f>
      </c>
      <c r="M32" s="43">
        <f>IF(S32="","",ROUND(S32*Settings!$F$6,2))</f>
      </c>
      <c r="N32" s="43">
        <f>IF(S32="","",ROUND(S32*IF(Settings!$B$3="Domestic buyer",Settings!$F$7,Settings!$F$9)+IF(Settings!$B$3="Domestic buyer",Settings!$F$8,Settings!$F$10),2))</f>
      </c>
      <c r="O32" s="43">
        <f>IF(S32="","",IF(Settings!$F$11="",0,ROUND(S32*Settings!$F$11,2)))</f>
      </c>
      <c r="P32" s="43">
        <f>IF(S32="","",IF(Settings!$F$12="",0,ROUND((L32+M32+N32+O32+Q32)*Settings!$F$12,2)))</f>
      </c>
      <c r="Q32" s="43">
        <f>IF(S32="","",IF(K32="No",0,ROUND(MIN(S32/Settings!$F$19*IF(K32="15%",Settings!$F$16,Settings!$F$17),Settings!$F$18)*Settings!$F$19,2)))</f>
      </c>
      <c r="R32" s="44">
        <f>IF(S32="","",ROUND(L32+M32+N32+O32+P32+Q32,2))</f>
      </c>
      <c r="S32" s="43">
        <f>IF(E32="","",ROUND(E32*(1-IF(H32="",0,H32))+IF(C32="Digital",0,IF(F32="",0,F32)+IF(G32="",0,G32)),2))</f>
      </c>
      <c r="T32" s="43">
        <f>IF(S32="","",ROUND(S32-R32-IF(I32="",0,I32)-IF(C32="Digital",0,IF(J32="",0,J32)),2))</f>
      </c>
      <c r="U32" s="45">
        <f>IF(S32="","",IF(S32=0,0,T32/S32))</f>
      </c>
    </row>
    <row r="33" ht="18" customHeight="1" spans="1:21" x14ac:dyDescent="0.25">
      <c r="A33" s="46">
        <v>32</v>
      </c>
      <c r="B33" s="35"/>
      <c r="C33" s="35" t="s">
        <v>108</v>
      </c>
      <c r="D33" s="47">
        <v>1</v>
      </c>
      <c r="E33" s="37"/>
      <c r="F33" s="37"/>
      <c r="G33" s="37"/>
      <c r="H33" s="36"/>
      <c r="I33" s="37"/>
      <c r="J33" s="37"/>
      <c r="K33" s="35" t="s">
        <v>109</v>
      </c>
      <c r="L33" s="48">
        <f>ROUND(Settings!$F$15*Settings!$F$19*IF(D33="",1,D33),2)</f>
      </c>
      <c r="M33" s="48">
        <f>IF(S33="","",ROUND(S33*Settings!$F$6,2))</f>
      </c>
      <c r="N33" s="48">
        <f>IF(S33="","",ROUND(S33*IF(Settings!$B$3="Domestic buyer",Settings!$F$7,Settings!$F$9)+IF(Settings!$B$3="Domestic buyer",Settings!$F$8,Settings!$F$10),2))</f>
      </c>
      <c r="O33" s="48">
        <f>IF(S33="","",IF(Settings!$F$11="",0,ROUND(S33*Settings!$F$11,2)))</f>
      </c>
      <c r="P33" s="48">
        <f>IF(S33="","",IF(Settings!$F$12="",0,ROUND((L33+M33+N33+O33+Q33)*Settings!$F$12,2)))</f>
      </c>
      <c r="Q33" s="48">
        <f>IF(S33="","",IF(K33="No",0,ROUND(MIN(S33/Settings!$F$19*IF(K33="15%",Settings!$F$16,Settings!$F$17),Settings!$F$18)*Settings!$F$19,2)))</f>
      </c>
      <c r="R33" s="49">
        <f>IF(S33="","",ROUND(L33+M33+N33+O33+P33+Q33,2))</f>
      </c>
      <c r="S33" s="48">
        <f>IF(E33="","",ROUND(E33*(1-IF(H33="",0,H33))+IF(C33="Digital",0,IF(F33="",0,F33)+IF(G33="",0,G33)),2))</f>
      </c>
      <c r="T33" s="48">
        <f>IF(S33="","",ROUND(S33-R33-IF(I33="",0,I33)-IF(C33="Digital",0,IF(J33="",0,J33)),2))</f>
      </c>
      <c r="U33" s="50">
        <f>IF(S33="","",IF(S33=0,0,T33/S33))</f>
      </c>
    </row>
    <row r="34" ht="18" customHeight="1" spans="1:21" s="40" customFormat="1" x14ac:dyDescent="0.25">
      <c r="A34" s="41">
        <v>33</v>
      </c>
      <c r="B34" s="30"/>
      <c r="C34" s="30" t="s">
        <v>108</v>
      </c>
      <c r="D34" s="42">
        <v>1</v>
      </c>
      <c r="E34" s="32"/>
      <c r="F34" s="32"/>
      <c r="G34" s="32"/>
      <c r="H34" s="31"/>
      <c r="I34" s="32"/>
      <c r="J34" s="32"/>
      <c r="K34" s="30" t="s">
        <v>109</v>
      </c>
      <c r="L34" s="43">
        <f>ROUND(Settings!$F$15*Settings!$F$19*IF(D34="",1,D34),2)</f>
      </c>
      <c r="M34" s="43">
        <f>IF(S34="","",ROUND(S34*Settings!$F$6,2))</f>
      </c>
      <c r="N34" s="43">
        <f>IF(S34="","",ROUND(S34*IF(Settings!$B$3="Domestic buyer",Settings!$F$7,Settings!$F$9)+IF(Settings!$B$3="Domestic buyer",Settings!$F$8,Settings!$F$10),2))</f>
      </c>
      <c r="O34" s="43">
        <f>IF(S34="","",IF(Settings!$F$11="",0,ROUND(S34*Settings!$F$11,2)))</f>
      </c>
      <c r="P34" s="43">
        <f>IF(S34="","",IF(Settings!$F$12="",0,ROUND((L34+M34+N34+O34+Q34)*Settings!$F$12,2)))</f>
      </c>
      <c r="Q34" s="43">
        <f>IF(S34="","",IF(K34="No",0,ROUND(MIN(S34/Settings!$F$19*IF(K34="15%",Settings!$F$16,Settings!$F$17),Settings!$F$18)*Settings!$F$19,2)))</f>
      </c>
      <c r="R34" s="44">
        <f>IF(S34="","",ROUND(L34+M34+N34+O34+P34+Q34,2))</f>
      </c>
      <c r="S34" s="43">
        <f>IF(E34="","",ROUND(E34*(1-IF(H34="",0,H34))+IF(C34="Digital",0,IF(F34="",0,F34)+IF(G34="",0,G34)),2))</f>
      </c>
      <c r="T34" s="43">
        <f>IF(S34="","",ROUND(S34-R34-IF(I34="",0,I34)-IF(C34="Digital",0,IF(J34="",0,J34)),2))</f>
      </c>
      <c r="U34" s="45">
        <f>IF(S34="","",IF(S34=0,0,T34/S34))</f>
      </c>
    </row>
    <row r="35" ht="18" customHeight="1" spans="1:21" x14ac:dyDescent="0.25">
      <c r="A35" s="46">
        <v>34</v>
      </c>
      <c r="B35" s="35"/>
      <c r="C35" s="35" t="s">
        <v>108</v>
      </c>
      <c r="D35" s="47">
        <v>1</v>
      </c>
      <c r="E35" s="37"/>
      <c r="F35" s="37"/>
      <c r="G35" s="37"/>
      <c r="H35" s="36"/>
      <c r="I35" s="37"/>
      <c r="J35" s="37"/>
      <c r="K35" s="35" t="s">
        <v>109</v>
      </c>
      <c r="L35" s="48">
        <f>ROUND(Settings!$F$15*Settings!$F$19*IF(D35="",1,D35),2)</f>
      </c>
      <c r="M35" s="48">
        <f>IF(S35="","",ROUND(S35*Settings!$F$6,2))</f>
      </c>
      <c r="N35" s="48">
        <f>IF(S35="","",ROUND(S35*IF(Settings!$B$3="Domestic buyer",Settings!$F$7,Settings!$F$9)+IF(Settings!$B$3="Domestic buyer",Settings!$F$8,Settings!$F$10),2))</f>
      </c>
      <c r="O35" s="48">
        <f>IF(S35="","",IF(Settings!$F$11="",0,ROUND(S35*Settings!$F$11,2)))</f>
      </c>
      <c r="P35" s="48">
        <f>IF(S35="","",IF(Settings!$F$12="",0,ROUND((L35+M35+N35+O35+Q35)*Settings!$F$12,2)))</f>
      </c>
      <c r="Q35" s="48">
        <f>IF(S35="","",IF(K35="No",0,ROUND(MIN(S35/Settings!$F$19*IF(K35="15%",Settings!$F$16,Settings!$F$17),Settings!$F$18)*Settings!$F$19,2)))</f>
      </c>
      <c r="R35" s="49">
        <f>IF(S35="","",ROUND(L35+M35+N35+O35+P35+Q35,2))</f>
      </c>
      <c r="S35" s="48">
        <f>IF(E35="","",ROUND(E35*(1-IF(H35="",0,H35))+IF(C35="Digital",0,IF(F35="",0,F35)+IF(G35="",0,G35)),2))</f>
      </c>
      <c r="T35" s="48">
        <f>IF(S35="","",ROUND(S35-R35-IF(I35="",0,I35)-IF(C35="Digital",0,IF(J35="",0,J35)),2))</f>
      </c>
      <c r="U35" s="50">
        <f>IF(S35="","",IF(S35=0,0,T35/S35))</f>
      </c>
    </row>
    <row r="36" ht="18" customHeight="1" spans="1:21" s="40" customFormat="1" x14ac:dyDescent="0.25">
      <c r="A36" s="41">
        <v>35</v>
      </c>
      <c r="B36" s="30"/>
      <c r="C36" s="30" t="s">
        <v>108</v>
      </c>
      <c r="D36" s="42">
        <v>1</v>
      </c>
      <c r="E36" s="32"/>
      <c r="F36" s="32"/>
      <c r="G36" s="32"/>
      <c r="H36" s="31"/>
      <c r="I36" s="32"/>
      <c r="J36" s="32"/>
      <c r="K36" s="30" t="s">
        <v>109</v>
      </c>
      <c r="L36" s="43">
        <f>ROUND(Settings!$F$15*Settings!$F$19*IF(D36="",1,D36),2)</f>
      </c>
      <c r="M36" s="43">
        <f>IF(S36="","",ROUND(S36*Settings!$F$6,2))</f>
      </c>
      <c r="N36" s="43">
        <f>IF(S36="","",ROUND(S36*IF(Settings!$B$3="Domestic buyer",Settings!$F$7,Settings!$F$9)+IF(Settings!$B$3="Domestic buyer",Settings!$F$8,Settings!$F$10),2))</f>
      </c>
      <c r="O36" s="43">
        <f>IF(S36="","",IF(Settings!$F$11="",0,ROUND(S36*Settings!$F$11,2)))</f>
      </c>
      <c r="P36" s="43">
        <f>IF(S36="","",IF(Settings!$F$12="",0,ROUND((L36+M36+N36+O36+Q36)*Settings!$F$12,2)))</f>
      </c>
      <c r="Q36" s="43">
        <f>IF(S36="","",IF(K36="No",0,ROUND(MIN(S36/Settings!$F$19*IF(K36="15%",Settings!$F$16,Settings!$F$17),Settings!$F$18)*Settings!$F$19,2)))</f>
      </c>
      <c r="R36" s="44">
        <f>IF(S36="","",ROUND(L36+M36+N36+O36+P36+Q36,2))</f>
      </c>
      <c r="S36" s="43">
        <f>IF(E36="","",ROUND(E36*(1-IF(H36="",0,H36))+IF(C36="Digital",0,IF(F36="",0,F36)+IF(G36="",0,G36)),2))</f>
      </c>
      <c r="T36" s="43">
        <f>IF(S36="","",ROUND(S36-R36-IF(I36="",0,I36)-IF(C36="Digital",0,IF(J36="",0,J36)),2))</f>
      </c>
      <c r="U36" s="45">
        <f>IF(S36="","",IF(S36=0,0,T36/S36))</f>
      </c>
    </row>
    <row r="37" ht="18" customHeight="1" spans="1:21" x14ac:dyDescent="0.25">
      <c r="A37" s="46">
        <v>36</v>
      </c>
      <c r="B37" s="35"/>
      <c r="C37" s="35" t="s">
        <v>108</v>
      </c>
      <c r="D37" s="47">
        <v>1</v>
      </c>
      <c r="E37" s="37"/>
      <c r="F37" s="37"/>
      <c r="G37" s="37"/>
      <c r="H37" s="36"/>
      <c r="I37" s="37"/>
      <c r="J37" s="37"/>
      <c r="K37" s="35" t="s">
        <v>109</v>
      </c>
      <c r="L37" s="48">
        <f>ROUND(Settings!$F$15*Settings!$F$19*IF(D37="",1,D37),2)</f>
      </c>
      <c r="M37" s="48">
        <f>IF(S37="","",ROUND(S37*Settings!$F$6,2))</f>
      </c>
      <c r="N37" s="48">
        <f>IF(S37="","",ROUND(S37*IF(Settings!$B$3="Domestic buyer",Settings!$F$7,Settings!$F$9)+IF(Settings!$B$3="Domestic buyer",Settings!$F$8,Settings!$F$10),2))</f>
      </c>
      <c r="O37" s="48">
        <f>IF(S37="","",IF(Settings!$F$11="",0,ROUND(S37*Settings!$F$11,2)))</f>
      </c>
      <c r="P37" s="48">
        <f>IF(S37="","",IF(Settings!$F$12="",0,ROUND((L37+M37+N37+O37+Q37)*Settings!$F$12,2)))</f>
      </c>
      <c r="Q37" s="48">
        <f>IF(S37="","",IF(K37="No",0,ROUND(MIN(S37/Settings!$F$19*IF(K37="15%",Settings!$F$16,Settings!$F$17),Settings!$F$18)*Settings!$F$19,2)))</f>
      </c>
      <c r="R37" s="49">
        <f>IF(S37="","",ROUND(L37+M37+N37+O37+P37+Q37,2))</f>
      </c>
      <c r="S37" s="48">
        <f>IF(E37="","",ROUND(E37*(1-IF(H37="",0,H37))+IF(C37="Digital",0,IF(F37="",0,F37)+IF(G37="",0,G37)),2))</f>
      </c>
      <c r="T37" s="48">
        <f>IF(S37="","",ROUND(S37-R37-IF(I37="",0,I37)-IF(C37="Digital",0,IF(J37="",0,J37)),2))</f>
      </c>
      <c r="U37" s="50">
        <f>IF(S37="","",IF(S37=0,0,T37/S37))</f>
      </c>
    </row>
    <row r="38" ht="18" customHeight="1" spans="1:21" s="40" customFormat="1" x14ac:dyDescent="0.25">
      <c r="A38" s="41">
        <v>37</v>
      </c>
      <c r="B38" s="30"/>
      <c r="C38" s="30" t="s">
        <v>108</v>
      </c>
      <c r="D38" s="42">
        <v>1</v>
      </c>
      <c r="E38" s="32"/>
      <c r="F38" s="32"/>
      <c r="G38" s="32"/>
      <c r="H38" s="31"/>
      <c r="I38" s="32"/>
      <c r="J38" s="32"/>
      <c r="K38" s="30" t="s">
        <v>109</v>
      </c>
      <c r="L38" s="43">
        <f>ROUND(Settings!$F$15*Settings!$F$19*IF(D38="",1,D38),2)</f>
      </c>
      <c r="M38" s="43">
        <f>IF(S38="","",ROUND(S38*Settings!$F$6,2))</f>
      </c>
      <c r="N38" s="43">
        <f>IF(S38="","",ROUND(S38*IF(Settings!$B$3="Domestic buyer",Settings!$F$7,Settings!$F$9)+IF(Settings!$B$3="Domestic buyer",Settings!$F$8,Settings!$F$10),2))</f>
      </c>
      <c r="O38" s="43">
        <f>IF(S38="","",IF(Settings!$F$11="",0,ROUND(S38*Settings!$F$11,2)))</f>
      </c>
      <c r="P38" s="43">
        <f>IF(S38="","",IF(Settings!$F$12="",0,ROUND((L38+M38+N38+O38+Q38)*Settings!$F$12,2)))</f>
      </c>
      <c r="Q38" s="43">
        <f>IF(S38="","",IF(K38="No",0,ROUND(MIN(S38/Settings!$F$19*IF(K38="15%",Settings!$F$16,Settings!$F$17),Settings!$F$18)*Settings!$F$19,2)))</f>
      </c>
      <c r="R38" s="44">
        <f>IF(S38="","",ROUND(L38+M38+N38+O38+P38+Q38,2))</f>
      </c>
      <c r="S38" s="43">
        <f>IF(E38="","",ROUND(E38*(1-IF(H38="",0,H38))+IF(C38="Digital",0,IF(F38="",0,F38)+IF(G38="",0,G38)),2))</f>
      </c>
      <c r="T38" s="43">
        <f>IF(S38="","",ROUND(S38-R38-IF(I38="",0,I38)-IF(C38="Digital",0,IF(J38="",0,J38)),2))</f>
      </c>
      <c r="U38" s="45">
        <f>IF(S38="","",IF(S38=0,0,T38/S38))</f>
      </c>
    </row>
    <row r="39" ht="18" customHeight="1" spans="1:21" x14ac:dyDescent="0.25">
      <c r="A39" s="46">
        <v>38</v>
      </c>
      <c r="B39" s="35"/>
      <c r="C39" s="35" t="s">
        <v>108</v>
      </c>
      <c r="D39" s="47">
        <v>1</v>
      </c>
      <c r="E39" s="37"/>
      <c r="F39" s="37"/>
      <c r="G39" s="37"/>
      <c r="H39" s="36"/>
      <c r="I39" s="37"/>
      <c r="J39" s="37"/>
      <c r="K39" s="35" t="s">
        <v>109</v>
      </c>
      <c r="L39" s="48">
        <f>ROUND(Settings!$F$15*Settings!$F$19*IF(D39="",1,D39),2)</f>
      </c>
      <c r="M39" s="48">
        <f>IF(S39="","",ROUND(S39*Settings!$F$6,2))</f>
      </c>
      <c r="N39" s="48">
        <f>IF(S39="","",ROUND(S39*IF(Settings!$B$3="Domestic buyer",Settings!$F$7,Settings!$F$9)+IF(Settings!$B$3="Domestic buyer",Settings!$F$8,Settings!$F$10),2))</f>
      </c>
      <c r="O39" s="48">
        <f>IF(S39="","",IF(Settings!$F$11="",0,ROUND(S39*Settings!$F$11,2)))</f>
      </c>
      <c r="P39" s="48">
        <f>IF(S39="","",IF(Settings!$F$12="",0,ROUND((L39+M39+N39+O39+Q39)*Settings!$F$12,2)))</f>
      </c>
      <c r="Q39" s="48">
        <f>IF(S39="","",IF(K39="No",0,ROUND(MIN(S39/Settings!$F$19*IF(K39="15%",Settings!$F$16,Settings!$F$17),Settings!$F$18)*Settings!$F$19,2)))</f>
      </c>
      <c r="R39" s="49">
        <f>IF(S39="","",ROUND(L39+M39+N39+O39+P39+Q39,2))</f>
      </c>
      <c r="S39" s="48">
        <f>IF(E39="","",ROUND(E39*(1-IF(H39="",0,H39))+IF(C39="Digital",0,IF(F39="",0,F39)+IF(G39="",0,G39)),2))</f>
      </c>
      <c r="T39" s="48">
        <f>IF(S39="","",ROUND(S39-R39-IF(I39="",0,I39)-IF(C39="Digital",0,IF(J39="",0,J39)),2))</f>
      </c>
      <c r="U39" s="50">
        <f>IF(S39="","",IF(S39=0,0,T39/S39))</f>
      </c>
    </row>
    <row r="40" ht="18" customHeight="1" spans="1:21" s="40" customFormat="1" x14ac:dyDescent="0.25">
      <c r="A40" s="41">
        <v>39</v>
      </c>
      <c r="B40" s="30"/>
      <c r="C40" s="30" t="s">
        <v>108</v>
      </c>
      <c r="D40" s="42">
        <v>1</v>
      </c>
      <c r="E40" s="32"/>
      <c r="F40" s="32"/>
      <c r="G40" s="32"/>
      <c r="H40" s="31"/>
      <c r="I40" s="32"/>
      <c r="J40" s="32"/>
      <c r="K40" s="30" t="s">
        <v>109</v>
      </c>
      <c r="L40" s="43">
        <f>ROUND(Settings!$F$15*Settings!$F$19*IF(D40="",1,D40),2)</f>
      </c>
      <c r="M40" s="43">
        <f>IF(S40="","",ROUND(S40*Settings!$F$6,2))</f>
      </c>
      <c r="N40" s="43">
        <f>IF(S40="","",ROUND(S40*IF(Settings!$B$3="Domestic buyer",Settings!$F$7,Settings!$F$9)+IF(Settings!$B$3="Domestic buyer",Settings!$F$8,Settings!$F$10),2))</f>
      </c>
      <c r="O40" s="43">
        <f>IF(S40="","",IF(Settings!$F$11="",0,ROUND(S40*Settings!$F$11,2)))</f>
      </c>
      <c r="P40" s="43">
        <f>IF(S40="","",IF(Settings!$F$12="",0,ROUND((L40+M40+N40+O40+Q40)*Settings!$F$12,2)))</f>
      </c>
      <c r="Q40" s="43">
        <f>IF(S40="","",IF(K40="No",0,ROUND(MIN(S40/Settings!$F$19*IF(K40="15%",Settings!$F$16,Settings!$F$17),Settings!$F$18)*Settings!$F$19,2)))</f>
      </c>
      <c r="R40" s="44">
        <f>IF(S40="","",ROUND(L40+M40+N40+O40+P40+Q40,2))</f>
      </c>
      <c r="S40" s="43">
        <f>IF(E40="","",ROUND(E40*(1-IF(H40="",0,H40))+IF(C40="Digital",0,IF(F40="",0,F40)+IF(G40="",0,G40)),2))</f>
      </c>
      <c r="T40" s="43">
        <f>IF(S40="","",ROUND(S40-R40-IF(I40="",0,I40)-IF(C40="Digital",0,IF(J40="",0,J40)),2))</f>
      </c>
      <c r="U40" s="45">
        <f>IF(S40="","",IF(S40=0,0,T40/S40))</f>
      </c>
    </row>
    <row r="41" ht="18" customHeight="1" spans="1:21" x14ac:dyDescent="0.25">
      <c r="A41" s="46">
        <v>40</v>
      </c>
      <c r="B41" s="35"/>
      <c r="C41" s="35" t="s">
        <v>108</v>
      </c>
      <c r="D41" s="47">
        <v>1</v>
      </c>
      <c r="E41" s="37"/>
      <c r="F41" s="37"/>
      <c r="G41" s="37"/>
      <c r="H41" s="36"/>
      <c r="I41" s="37"/>
      <c r="J41" s="37"/>
      <c r="K41" s="35" t="s">
        <v>109</v>
      </c>
      <c r="L41" s="48">
        <f>ROUND(Settings!$F$15*Settings!$F$19*IF(D41="",1,D41),2)</f>
      </c>
      <c r="M41" s="48">
        <f>IF(S41="","",ROUND(S41*Settings!$F$6,2))</f>
      </c>
      <c r="N41" s="48">
        <f>IF(S41="","",ROUND(S41*IF(Settings!$B$3="Domestic buyer",Settings!$F$7,Settings!$F$9)+IF(Settings!$B$3="Domestic buyer",Settings!$F$8,Settings!$F$10),2))</f>
      </c>
      <c r="O41" s="48">
        <f>IF(S41="","",IF(Settings!$F$11="",0,ROUND(S41*Settings!$F$11,2)))</f>
      </c>
      <c r="P41" s="48">
        <f>IF(S41="","",IF(Settings!$F$12="",0,ROUND((L41+M41+N41+O41+Q41)*Settings!$F$12,2)))</f>
      </c>
      <c r="Q41" s="48">
        <f>IF(S41="","",IF(K41="No",0,ROUND(MIN(S41/Settings!$F$19*IF(K41="15%",Settings!$F$16,Settings!$F$17),Settings!$F$18)*Settings!$F$19,2)))</f>
      </c>
      <c r="R41" s="49">
        <f>IF(S41="","",ROUND(L41+M41+N41+O41+P41+Q41,2))</f>
      </c>
      <c r="S41" s="48">
        <f>IF(E41="","",ROUND(E41*(1-IF(H41="",0,H41))+IF(C41="Digital",0,IF(F41="",0,F41)+IF(G41="",0,G41)),2))</f>
      </c>
      <c r="T41" s="48">
        <f>IF(S41="","",ROUND(S41-R41-IF(I41="",0,I41)-IF(C41="Digital",0,IF(J41="",0,J41)),2))</f>
      </c>
      <c r="U41" s="50">
        <f>IF(S41="","",IF(S41=0,0,T41/S41))</f>
      </c>
    </row>
    <row r="42" ht="18" customHeight="1" spans="1:21" s="40" customFormat="1" x14ac:dyDescent="0.25">
      <c r="A42" s="41">
        <v>41</v>
      </c>
      <c r="B42" s="30"/>
      <c r="C42" s="30" t="s">
        <v>108</v>
      </c>
      <c r="D42" s="42">
        <v>1</v>
      </c>
      <c r="E42" s="32"/>
      <c r="F42" s="32"/>
      <c r="G42" s="32"/>
      <c r="H42" s="31"/>
      <c r="I42" s="32"/>
      <c r="J42" s="32"/>
      <c r="K42" s="30" t="s">
        <v>109</v>
      </c>
      <c r="L42" s="43">
        <f>ROUND(Settings!$F$15*Settings!$F$19*IF(D42="",1,D42),2)</f>
      </c>
      <c r="M42" s="43">
        <f>IF(S42="","",ROUND(S42*Settings!$F$6,2))</f>
      </c>
      <c r="N42" s="43">
        <f>IF(S42="","",ROUND(S42*IF(Settings!$B$3="Domestic buyer",Settings!$F$7,Settings!$F$9)+IF(Settings!$B$3="Domestic buyer",Settings!$F$8,Settings!$F$10),2))</f>
      </c>
      <c r="O42" s="43">
        <f>IF(S42="","",IF(Settings!$F$11="",0,ROUND(S42*Settings!$F$11,2)))</f>
      </c>
      <c r="P42" s="43">
        <f>IF(S42="","",IF(Settings!$F$12="",0,ROUND((L42+M42+N42+O42+Q42)*Settings!$F$12,2)))</f>
      </c>
      <c r="Q42" s="43">
        <f>IF(S42="","",IF(K42="No",0,ROUND(MIN(S42/Settings!$F$19*IF(K42="15%",Settings!$F$16,Settings!$F$17),Settings!$F$18)*Settings!$F$19,2)))</f>
      </c>
      <c r="R42" s="44">
        <f>IF(S42="","",ROUND(L42+M42+N42+O42+P42+Q42,2))</f>
      </c>
      <c r="S42" s="43">
        <f>IF(E42="","",ROUND(E42*(1-IF(H42="",0,H42))+IF(C42="Digital",0,IF(F42="",0,F42)+IF(G42="",0,G42)),2))</f>
      </c>
      <c r="T42" s="43">
        <f>IF(S42="","",ROUND(S42-R42-IF(I42="",0,I42)-IF(C42="Digital",0,IF(J42="",0,J42)),2))</f>
      </c>
      <c r="U42" s="45">
        <f>IF(S42="","",IF(S42=0,0,T42/S42))</f>
      </c>
    </row>
    <row r="43" ht="18" customHeight="1" spans="1:21" x14ac:dyDescent="0.25">
      <c r="A43" s="46">
        <v>42</v>
      </c>
      <c r="B43" s="35"/>
      <c r="C43" s="35" t="s">
        <v>108</v>
      </c>
      <c r="D43" s="47">
        <v>1</v>
      </c>
      <c r="E43" s="37"/>
      <c r="F43" s="37"/>
      <c r="G43" s="37"/>
      <c r="H43" s="36"/>
      <c r="I43" s="37"/>
      <c r="J43" s="37"/>
      <c r="K43" s="35" t="s">
        <v>109</v>
      </c>
      <c r="L43" s="48">
        <f>ROUND(Settings!$F$15*Settings!$F$19*IF(D43="",1,D43),2)</f>
      </c>
      <c r="M43" s="48">
        <f>IF(S43="","",ROUND(S43*Settings!$F$6,2))</f>
      </c>
      <c r="N43" s="48">
        <f>IF(S43="","",ROUND(S43*IF(Settings!$B$3="Domestic buyer",Settings!$F$7,Settings!$F$9)+IF(Settings!$B$3="Domestic buyer",Settings!$F$8,Settings!$F$10),2))</f>
      </c>
      <c r="O43" s="48">
        <f>IF(S43="","",IF(Settings!$F$11="",0,ROUND(S43*Settings!$F$11,2)))</f>
      </c>
      <c r="P43" s="48">
        <f>IF(S43="","",IF(Settings!$F$12="",0,ROUND((L43+M43+N43+O43+Q43)*Settings!$F$12,2)))</f>
      </c>
      <c r="Q43" s="48">
        <f>IF(S43="","",IF(K43="No",0,ROUND(MIN(S43/Settings!$F$19*IF(K43="15%",Settings!$F$16,Settings!$F$17),Settings!$F$18)*Settings!$F$19,2)))</f>
      </c>
      <c r="R43" s="49">
        <f>IF(S43="","",ROUND(L43+M43+N43+O43+P43+Q43,2))</f>
      </c>
      <c r="S43" s="48">
        <f>IF(E43="","",ROUND(E43*(1-IF(H43="",0,H43))+IF(C43="Digital",0,IF(F43="",0,F43)+IF(G43="",0,G43)),2))</f>
      </c>
      <c r="T43" s="48">
        <f>IF(S43="","",ROUND(S43-R43-IF(I43="",0,I43)-IF(C43="Digital",0,IF(J43="",0,J43)),2))</f>
      </c>
      <c r="U43" s="50">
        <f>IF(S43="","",IF(S43=0,0,T43/S43))</f>
      </c>
    </row>
    <row r="44" ht="18" customHeight="1" spans="1:21" s="40" customFormat="1" x14ac:dyDescent="0.25">
      <c r="A44" s="41">
        <v>43</v>
      </c>
      <c r="B44" s="30"/>
      <c r="C44" s="30" t="s">
        <v>108</v>
      </c>
      <c r="D44" s="42">
        <v>1</v>
      </c>
      <c r="E44" s="32"/>
      <c r="F44" s="32"/>
      <c r="G44" s="32"/>
      <c r="H44" s="31"/>
      <c r="I44" s="32"/>
      <c r="J44" s="32"/>
      <c r="K44" s="30" t="s">
        <v>109</v>
      </c>
      <c r="L44" s="43">
        <f>ROUND(Settings!$F$15*Settings!$F$19*IF(D44="",1,D44),2)</f>
      </c>
      <c r="M44" s="43">
        <f>IF(S44="","",ROUND(S44*Settings!$F$6,2))</f>
      </c>
      <c r="N44" s="43">
        <f>IF(S44="","",ROUND(S44*IF(Settings!$B$3="Domestic buyer",Settings!$F$7,Settings!$F$9)+IF(Settings!$B$3="Domestic buyer",Settings!$F$8,Settings!$F$10),2))</f>
      </c>
      <c r="O44" s="43">
        <f>IF(S44="","",IF(Settings!$F$11="",0,ROUND(S44*Settings!$F$11,2)))</f>
      </c>
      <c r="P44" s="43">
        <f>IF(S44="","",IF(Settings!$F$12="",0,ROUND((L44+M44+N44+O44+Q44)*Settings!$F$12,2)))</f>
      </c>
      <c r="Q44" s="43">
        <f>IF(S44="","",IF(K44="No",0,ROUND(MIN(S44/Settings!$F$19*IF(K44="15%",Settings!$F$16,Settings!$F$17),Settings!$F$18)*Settings!$F$19,2)))</f>
      </c>
      <c r="R44" s="44">
        <f>IF(S44="","",ROUND(L44+M44+N44+O44+P44+Q44,2))</f>
      </c>
      <c r="S44" s="43">
        <f>IF(E44="","",ROUND(E44*(1-IF(H44="",0,H44))+IF(C44="Digital",0,IF(F44="",0,F44)+IF(G44="",0,G44)),2))</f>
      </c>
      <c r="T44" s="43">
        <f>IF(S44="","",ROUND(S44-R44-IF(I44="",0,I44)-IF(C44="Digital",0,IF(J44="",0,J44)),2))</f>
      </c>
      <c r="U44" s="45">
        <f>IF(S44="","",IF(S44=0,0,T44/S44))</f>
      </c>
    </row>
    <row r="45" ht="18" customHeight="1" spans="1:21" x14ac:dyDescent="0.25">
      <c r="A45" s="46">
        <v>44</v>
      </c>
      <c r="B45" s="35"/>
      <c r="C45" s="35" t="s">
        <v>108</v>
      </c>
      <c r="D45" s="47">
        <v>1</v>
      </c>
      <c r="E45" s="37"/>
      <c r="F45" s="37"/>
      <c r="G45" s="37"/>
      <c r="H45" s="36"/>
      <c r="I45" s="37"/>
      <c r="J45" s="37"/>
      <c r="K45" s="35" t="s">
        <v>109</v>
      </c>
      <c r="L45" s="48">
        <f>ROUND(Settings!$F$15*Settings!$F$19*IF(D45="",1,D45),2)</f>
      </c>
      <c r="M45" s="48">
        <f>IF(S45="","",ROUND(S45*Settings!$F$6,2))</f>
      </c>
      <c r="N45" s="48">
        <f>IF(S45="","",ROUND(S45*IF(Settings!$B$3="Domestic buyer",Settings!$F$7,Settings!$F$9)+IF(Settings!$B$3="Domestic buyer",Settings!$F$8,Settings!$F$10),2))</f>
      </c>
      <c r="O45" s="48">
        <f>IF(S45="","",IF(Settings!$F$11="",0,ROUND(S45*Settings!$F$11,2)))</f>
      </c>
      <c r="P45" s="48">
        <f>IF(S45="","",IF(Settings!$F$12="",0,ROUND((L45+M45+N45+O45+Q45)*Settings!$F$12,2)))</f>
      </c>
      <c r="Q45" s="48">
        <f>IF(S45="","",IF(K45="No",0,ROUND(MIN(S45/Settings!$F$19*IF(K45="15%",Settings!$F$16,Settings!$F$17),Settings!$F$18)*Settings!$F$19,2)))</f>
      </c>
      <c r="R45" s="49">
        <f>IF(S45="","",ROUND(L45+M45+N45+O45+P45+Q45,2))</f>
      </c>
      <c r="S45" s="48">
        <f>IF(E45="","",ROUND(E45*(1-IF(H45="",0,H45))+IF(C45="Digital",0,IF(F45="",0,F45)+IF(G45="",0,G45)),2))</f>
      </c>
      <c r="T45" s="48">
        <f>IF(S45="","",ROUND(S45-R45-IF(I45="",0,I45)-IF(C45="Digital",0,IF(J45="",0,J45)),2))</f>
      </c>
      <c r="U45" s="50">
        <f>IF(S45="","",IF(S45=0,0,T45/S45))</f>
      </c>
    </row>
    <row r="46" ht="18" customHeight="1" spans="1:21" s="40" customFormat="1" x14ac:dyDescent="0.25">
      <c r="A46" s="41">
        <v>45</v>
      </c>
      <c r="B46" s="30"/>
      <c r="C46" s="30" t="s">
        <v>108</v>
      </c>
      <c r="D46" s="42">
        <v>1</v>
      </c>
      <c r="E46" s="32"/>
      <c r="F46" s="32"/>
      <c r="G46" s="32"/>
      <c r="H46" s="31"/>
      <c r="I46" s="32"/>
      <c r="J46" s="32"/>
      <c r="K46" s="30" t="s">
        <v>109</v>
      </c>
      <c r="L46" s="43">
        <f>ROUND(Settings!$F$15*Settings!$F$19*IF(D46="",1,D46),2)</f>
      </c>
      <c r="M46" s="43">
        <f>IF(S46="","",ROUND(S46*Settings!$F$6,2))</f>
      </c>
      <c r="N46" s="43">
        <f>IF(S46="","",ROUND(S46*IF(Settings!$B$3="Domestic buyer",Settings!$F$7,Settings!$F$9)+IF(Settings!$B$3="Domestic buyer",Settings!$F$8,Settings!$F$10),2))</f>
      </c>
      <c r="O46" s="43">
        <f>IF(S46="","",IF(Settings!$F$11="",0,ROUND(S46*Settings!$F$11,2)))</f>
      </c>
      <c r="P46" s="43">
        <f>IF(S46="","",IF(Settings!$F$12="",0,ROUND((L46+M46+N46+O46+Q46)*Settings!$F$12,2)))</f>
      </c>
      <c r="Q46" s="43">
        <f>IF(S46="","",IF(K46="No",0,ROUND(MIN(S46/Settings!$F$19*IF(K46="15%",Settings!$F$16,Settings!$F$17),Settings!$F$18)*Settings!$F$19,2)))</f>
      </c>
      <c r="R46" s="44">
        <f>IF(S46="","",ROUND(L46+M46+N46+O46+P46+Q46,2))</f>
      </c>
      <c r="S46" s="43">
        <f>IF(E46="","",ROUND(E46*(1-IF(H46="",0,H46))+IF(C46="Digital",0,IF(F46="",0,F46)+IF(G46="",0,G46)),2))</f>
      </c>
      <c r="T46" s="43">
        <f>IF(S46="","",ROUND(S46-R46-IF(I46="",0,I46)-IF(C46="Digital",0,IF(J46="",0,J46)),2))</f>
      </c>
      <c r="U46" s="45">
        <f>IF(S46="","",IF(S46=0,0,T46/S46))</f>
      </c>
    </row>
    <row r="47" ht="18" customHeight="1" spans="1:21" x14ac:dyDescent="0.25">
      <c r="A47" s="46">
        <v>46</v>
      </c>
      <c r="B47" s="35"/>
      <c r="C47" s="35" t="s">
        <v>108</v>
      </c>
      <c r="D47" s="47">
        <v>1</v>
      </c>
      <c r="E47" s="37"/>
      <c r="F47" s="37"/>
      <c r="G47" s="37"/>
      <c r="H47" s="36"/>
      <c r="I47" s="37"/>
      <c r="J47" s="37"/>
      <c r="K47" s="35" t="s">
        <v>109</v>
      </c>
      <c r="L47" s="48">
        <f>ROUND(Settings!$F$15*Settings!$F$19*IF(D47="",1,D47),2)</f>
      </c>
      <c r="M47" s="48">
        <f>IF(S47="","",ROUND(S47*Settings!$F$6,2))</f>
      </c>
      <c r="N47" s="48">
        <f>IF(S47="","",ROUND(S47*IF(Settings!$B$3="Domestic buyer",Settings!$F$7,Settings!$F$9)+IF(Settings!$B$3="Domestic buyer",Settings!$F$8,Settings!$F$10),2))</f>
      </c>
      <c r="O47" s="48">
        <f>IF(S47="","",IF(Settings!$F$11="",0,ROUND(S47*Settings!$F$11,2)))</f>
      </c>
      <c r="P47" s="48">
        <f>IF(S47="","",IF(Settings!$F$12="",0,ROUND((L47+M47+N47+O47+Q47)*Settings!$F$12,2)))</f>
      </c>
      <c r="Q47" s="48">
        <f>IF(S47="","",IF(K47="No",0,ROUND(MIN(S47/Settings!$F$19*IF(K47="15%",Settings!$F$16,Settings!$F$17),Settings!$F$18)*Settings!$F$19,2)))</f>
      </c>
      <c r="R47" s="49">
        <f>IF(S47="","",ROUND(L47+M47+N47+O47+P47+Q47,2))</f>
      </c>
      <c r="S47" s="48">
        <f>IF(E47="","",ROUND(E47*(1-IF(H47="",0,H47))+IF(C47="Digital",0,IF(F47="",0,F47)+IF(G47="",0,G47)),2))</f>
      </c>
      <c r="T47" s="48">
        <f>IF(S47="","",ROUND(S47-R47-IF(I47="",0,I47)-IF(C47="Digital",0,IF(J47="",0,J47)),2))</f>
      </c>
      <c r="U47" s="50">
        <f>IF(S47="","",IF(S47=0,0,T47/S47))</f>
      </c>
    </row>
    <row r="48" ht="18" customHeight="1" spans="1:21" s="40" customFormat="1" x14ac:dyDescent="0.25">
      <c r="A48" s="41">
        <v>47</v>
      </c>
      <c r="B48" s="30"/>
      <c r="C48" s="30" t="s">
        <v>108</v>
      </c>
      <c r="D48" s="42">
        <v>1</v>
      </c>
      <c r="E48" s="32"/>
      <c r="F48" s="32"/>
      <c r="G48" s="32"/>
      <c r="H48" s="31"/>
      <c r="I48" s="32"/>
      <c r="J48" s="32"/>
      <c r="K48" s="30" t="s">
        <v>109</v>
      </c>
      <c r="L48" s="43">
        <f>ROUND(Settings!$F$15*Settings!$F$19*IF(D48="",1,D48),2)</f>
      </c>
      <c r="M48" s="43">
        <f>IF(S48="","",ROUND(S48*Settings!$F$6,2))</f>
      </c>
      <c r="N48" s="43">
        <f>IF(S48="","",ROUND(S48*IF(Settings!$B$3="Domestic buyer",Settings!$F$7,Settings!$F$9)+IF(Settings!$B$3="Domestic buyer",Settings!$F$8,Settings!$F$10),2))</f>
      </c>
      <c r="O48" s="43">
        <f>IF(S48="","",IF(Settings!$F$11="",0,ROUND(S48*Settings!$F$11,2)))</f>
      </c>
      <c r="P48" s="43">
        <f>IF(S48="","",IF(Settings!$F$12="",0,ROUND((L48+M48+N48+O48+Q48)*Settings!$F$12,2)))</f>
      </c>
      <c r="Q48" s="43">
        <f>IF(S48="","",IF(K48="No",0,ROUND(MIN(S48/Settings!$F$19*IF(K48="15%",Settings!$F$16,Settings!$F$17),Settings!$F$18)*Settings!$F$19,2)))</f>
      </c>
      <c r="R48" s="44">
        <f>IF(S48="","",ROUND(L48+M48+N48+O48+P48+Q48,2))</f>
      </c>
      <c r="S48" s="43">
        <f>IF(E48="","",ROUND(E48*(1-IF(H48="",0,H48))+IF(C48="Digital",0,IF(F48="",0,F48)+IF(G48="",0,G48)),2))</f>
      </c>
      <c r="T48" s="43">
        <f>IF(S48="","",ROUND(S48-R48-IF(I48="",0,I48)-IF(C48="Digital",0,IF(J48="",0,J48)),2))</f>
      </c>
      <c r="U48" s="45">
        <f>IF(S48="","",IF(S48=0,0,T48/S48))</f>
      </c>
    </row>
    <row r="49" ht="18" customHeight="1" spans="1:21" x14ac:dyDescent="0.25">
      <c r="A49" s="46">
        <v>48</v>
      </c>
      <c r="B49" s="35"/>
      <c r="C49" s="35" t="s">
        <v>108</v>
      </c>
      <c r="D49" s="47">
        <v>1</v>
      </c>
      <c r="E49" s="37"/>
      <c r="F49" s="37"/>
      <c r="G49" s="37"/>
      <c r="H49" s="36"/>
      <c r="I49" s="37"/>
      <c r="J49" s="37"/>
      <c r="K49" s="35" t="s">
        <v>109</v>
      </c>
      <c r="L49" s="48">
        <f>ROUND(Settings!$F$15*Settings!$F$19*IF(D49="",1,D49),2)</f>
      </c>
      <c r="M49" s="48">
        <f>IF(S49="","",ROUND(S49*Settings!$F$6,2))</f>
      </c>
      <c r="N49" s="48">
        <f>IF(S49="","",ROUND(S49*IF(Settings!$B$3="Domestic buyer",Settings!$F$7,Settings!$F$9)+IF(Settings!$B$3="Domestic buyer",Settings!$F$8,Settings!$F$10),2))</f>
      </c>
      <c r="O49" s="48">
        <f>IF(S49="","",IF(Settings!$F$11="",0,ROUND(S49*Settings!$F$11,2)))</f>
      </c>
      <c r="P49" s="48">
        <f>IF(S49="","",IF(Settings!$F$12="",0,ROUND((L49+M49+N49+O49+Q49)*Settings!$F$12,2)))</f>
      </c>
      <c r="Q49" s="48">
        <f>IF(S49="","",IF(K49="No",0,ROUND(MIN(S49/Settings!$F$19*IF(K49="15%",Settings!$F$16,Settings!$F$17),Settings!$F$18)*Settings!$F$19,2)))</f>
      </c>
      <c r="R49" s="49">
        <f>IF(S49="","",ROUND(L49+M49+N49+O49+P49+Q49,2))</f>
      </c>
      <c r="S49" s="48">
        <f>IF(E49="","",ROUND(E49*(1-IF(H49="",0,H49))+IF(C49="Digital",0,IF(F49="",0,F49)+IF(G49="",0,G49)),2))</f>
      </c>
      <c r="T49" s="48">
        <f>IF(S49="","",ROUND(S49-R49-IF(I49="",0,I49)-IF(C49="Digital",0,IF(J49="",0,J49)),2))</f>
      </c>
      <c r="U49" s="50">
        <f>IF(S49="","",IF(S49=0,0,T49/S49))</f>
      </c>
    </row>
    <row r="50" ht="18" customHeight="1" spans="1:21" s="40" customFormat="1" x14ac:dyDescent="0.25">
      <c r="A50" s="41">
        <v>49</v>
      </c>
      <c r="B50" s="30"/>
      <c r="C50" s="30" t="s">
        <v>108</v>
      </c>
      <c r="D50" s="42">
        <v>1</v>
      </c>
      <c r="E50" s="32"/>
      <c r="F50" s="32"/>
      <c r="G50" s="32"/>
      <c r="H50" s="31"/>
      <c r="I50" s="32"/>
      <c r="J50" s="32"/>
      <c r="K50" s="30" t="s">
        <v>109</v>
      </c>
      <c r="L50" s="43">
        <f>ROUND(Settings!$F$15*Settings!$F$19*IF(D50="",1,D50),2)</f>
      </c>
      <c r="M50" s="43">
        <f>IF(S50="","",ROUND(S50*Settings!$F$6,2))</f>
      </c>
      <c r="N50" s="43">
        <f>IF(S50="","",ROUND(S50*IF(Settings!$B$3="Domestic buyer",Settings!$F$7,Settings!$F$9)+IF(Settings!$B$3="Domestic buyer",Settings!$F$8,Settings!$F$10),2))</f>
      </c>
      <c r="O50" s="43">
        <f>IF(S50="","",IF(Settings!$F$11="",0,ROUND(S50*Settings!$F$11,2)))</f>
      </c>
      <c r="P50" s="43">
        <f>IF(S50="","",IF(Settings!$F$12="",0,ROUND((L50+M50+N50+O50+Q50)*Settings!$F$12,2)))</f>
      </c>
      <c r="Q50" s="43">
        <f>IF(S50="","",IF(K50="No",0,ROUND(MIN(S50/Settings!$F$19*IF(K50="15%",Settings!$F$16,Settings!$F$17),Settings!$F$18)*Settings!$F$19,2)))</f>
      </c>
      <c r="R50" s="44">
        <f>IF(S50="","",ROUND(L50+M50+N50+O50+P50+Q50,2))</f>
      </c>
      <c r="S50" s="43">
        <f>IF(E50="","",ROUND(E50*(1-IF(H50="",0,H50))+IF(C50="Digital",0,IF(F50="",0,F50)+IF(G50="",0,G50)),2))</f>
      </c>
      <c r="T50" s="43">
        <f>IF(S50="","",ROUND(S50-R50-IF(I50="",0,I50)-IF(C50="Digital",0,IF(J50="",0,J50)),2))</f>
      </c>
      <c r="U50" s="45">
        <f>IF(S50="","",IF(S50=0,0,T50/S50))</f>
      </c>
    </row>
    <row r="51" ht="18" customHeight="1" spans="1:21" x14ac:dyDescent="0.25">
      <c r="A51" s="46">
        <v>50</v>
      </c>
      <c r="B51" s="35"/>
      <c r="C51" s="35" t="s">
        <v>108</v>
      </c>
      <c r="D51" s="47">
        <v>1</v>
      </c>
      <c r="E51" s="37"/>
      <c r="F51" s="37"/>
      <c r="G51" s="37"/>
      <c r="H51" s="36"/>
      <c r="I51" s="37"/>
      <c r="J51" s="37"/>
      <c r="K51" s="35" t="s">
        <v>109</v>
      </c>
      <c r="L51" s="48">
        <f>ROUND(Settings!$F$15*Settings!$F$19*IF(D51="",1,D51),2)</f>
      </c>
      <c r="M51" s="48">
        <f>IF(S51="","",ROUND(S51*Settings!$F$6,2))</f>
      </c>
      <c r="N51" s="48">
        <f>IF(S51="","",ROUND(S51*IF(Settings!$B$3="Domestic buyer",Settings!$F$7,Settings!$F$9)+IF(Settings!$B$3="Domestic buyer",Settings!$F$8,Settings!$F$10),2))</f>
      </c>
      <c r="O51" s="48">
        <f>IF(S51="","",IF(Settings!$F$11="",0,ROUND(S51*Settings!$F$11,2)))</f>
      </c>
      <c r="P51" s="48">
        <f>IF(S51="","",IF(Settings!$F$12="",0,ROUND((L51+M51+N51+O51+Q51)*Settings!$F$12,2)))</f>
      </c>
      <c r="Q51" s="48">
        <f>IF(S51="","",IF(K51="No",0,ROUND(MIN(S51/Settings!$F$19*IF(K51="15%",Settings!$F$16,Settings!$F$17),Settings!$F$18)*Settings!$F$19,2)))</f>
      </c>
      <c r="R51" s="49">
        <f>IF(S51="","",ROUND(L51+M51+N51+O51+P51+Q51,2))</f>
      </c>
      <c r="S51" s="48">
        <f>IF(E51="","",ROUND(E51*(1-IF(H51="",0,H51))+IF(C51="Digital",0,IF(F51="",0,F51)+IF(G51="",0,G51)),2))</f>
      </c>
      <c r="T51" s="48">
        <f>IF(S51="","",ROUND(S51-R51-IF(I51="",0,I51)-IF(C51="Digital",0,IF(J51="",0,J51)),2))</f>
      </c>
      <c r="U51" s="50">
        <f>IF(S51="","",IF(S51=0,0,T51/S51))</f>
      </c>
    </row>
  </sheetData>
  <autoFilter ref="A1:U1"/>
  <conditionalFormatting sqref="U2:U51">
    <cfRule type="cellIs" dxfId="0" priority="1" operator="lessThan">
      <formula>0.2</formula>
    </cfRule>
  </conditionalFormatting>
  <dataValidations count="4">
    <dataValidation type="list" sqref="C10:C51">
      <formula1>"Physical,Digital,Print-on-Demand"</formula1>
    </dataValidation>
    <dataValidation type="list" sqref="C2:C51">
      <formula1>"Physical,Digital,Print-on-Demand"</formula1>
    </dataValidation>
    <dataValidation type="list" sqref="K10:K51">
      <formula1>"No,15%,12%"</formula1>
    </dataValidation>
    <dataValidation type="list" sqref="K2:K51">
      <formula1>"No,15%,12%"</formula1>
    </dataValidation>
  </dataValidations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A9D99"/>
  </sheetPr>
  <dimension ref="A1:H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3" width="10" customWidth="1"/>
    <col min="4" max="7" width="13" customWidth="1"/>
    <col min="8" max="8" width="14" customWidth="1"/>
  </cols>
  <sheetData>
    <row r="1" ht="24" customHeight="1" spans="1:6" x14ac:dyDescent="0.25">
      <c r="A1" s="8" t="s">
        <v>111</v>
      </c>
      <c r="B1" s="8"/>
      <c r="C1" s="8"/>
      <c r="D1" s="8"/>
      <c r="E1" s="8"/>
      <c r="F1" s="8"/>
    </row>
    <row r="2" spans="1:3" x14ac:dyDescent="0.25">
      <c r="A2" s="9" t="s">
        <v>112</v>
      </c>
      <c r="B2" s="10" t="s">
        <v>113</v>
      </c>
      <c r="C2" s="11" t="s">
        <v>114</v>
      </c>
    </row>
    <row r="3" spans="1:3" x14ac:dyDescent="0.25">
      <c r="A3" s="9" t="s">
        <v>115</v>
      </c>
      <c r="B3" s="20">
        <v>10</v>
      </c>
      <c r="C3" s="11" t="s">
        <v>116</v>
      </c>
    </row>
    <row r="4" spans="1:2" x14ac:dyDescent="0.25">
      <c r="A4" s="9" t="s">
        <v>94</v>
      </c>
      <c r="B4" s="48">
        <v>5</v>
      </c>
    </row>
    <row r="5" spans="1:2" x14ac:dyDescent="0.25">
      <c r="A5" s="9" t="s">
        <v>95</v>
      </c>
      <c r="B5" s="48">
        <v>2</v>
      </c>
    </row>
    <row r="6" spans="1:2" x14ac:dyDescent="0.25">
      <c r="A6" s="9" t="s">
        <v>91</v>
      </c>
      <c r="B6" s="48">
        <v>3</v>
      </c>
    </row>
    <row r="7" spans="1:2" x14ac:dyDescent="0.25">
      <c r="A7" s="9" t="s">
        <v>89</v>
      </c>
      <c r="B7" s="51">
        <v>1</v>
      </c>
    </row>
    <row r="8" spans="1:6" x14ac:dyDescent="0.25">
      <c r="A8" s="12" t="s">
        <v>117</v>
      </c>
      <c r="B8" s="12"/>
      <c r="C8" s="12"/>
      <c r="D8" s="12"/>
      <c r="E8" s="12"/>
      <c r="F8" s="12"/>
    </row>
    <row r="9" spans="1:2" x14ac:dyDescent="0.25">
      <c r="A9" s="9" t="s">
        <v>118</v>
      </c>
      <c r="B9" s="52">
        <f>IF(B2="Target profit",IF((1-(Settings!$F$6+IF(Settings!$B$3="Domestic buyer",Settings!$F$7,Settings!$F$9)+IF(Settings!$F$11="",0,Settings!$F$11))*(1+IF(Settings!$F$12="",0,Settings!$F$12)))=0,"",ROUND((B3+(IF(Settings!$B$3="Domestic buyer",Settings!$F$8,Settings!$F$10)+Settings!$F$15*Settings!$F$19*B7)*(1+IF(Settings!$F$12="",0,Settings!$F$12))+B4+B5)/(1-(Settings!$F$6+IF(Settings!$B$3="Domestic buyer",Settings!$F$7,Settings!$F$9)+IF(Settings!$F$11="",0,Settings!$F$11))*(1+IF(Settings!$F$12="",0,Settings!$F$12)))-B6,2)),ROUND(((IF(Settings!$B$3="Domestic buyer",Settings!$F$8,Settings!$F$10)+Settings!$F$15*Settings!$F$19*B7)*(1+IF(Settings!$F$12="",0,Settings!$F$12))+B4+B5)/(1-(Settings!$F$6+IF(Settings!$B$3="Domestic buyer",Settings!$F$7,Settings!$F$9)+IF(Settings!$F$11="",0,Settings!$F$11))*(1+IF(Settings!$F$12="",0,Settings!$F$12))-B3/100)-B6,2))</f>
      </c>
    </row>
    <row r="10" spans="1:2" x14ac:dyDescent="0.25">
      <c r="A10" s="9" t="s">
        <v>119</v>
      </c>
      <c r="B10" s="48">
        <f>ROUND(((IF(Settings!$B$3="Domestic buyer",Settings!$F$8,Settings!$F$10)+Settings!$F$15*Settings!$F$19*B7)*(1+IF(Settings!$F$12="",0,Settings!$F$12))+B4+B5)/(1-(Settings!$F$6+IF(Settings!$B$3="Domestic buyer",Settings!$F$7,Settings!$F$9)+IF(Settings!$F$11="",0,Settings!$F$11))*(1+IF(Settings!$F$12="",0,Settings!$F$12)))-B6,2)</f>
      </c>
    </row>
    <row r="11" spans="1:2" x14ac:dyDescent="0.25">
      <c r="A11" s="9" t="s">
        <v>120</v>
      </c>
      <c r="B11" s="50">
        <f>IF(B9="","",IF((B9+B6)=0,0,ROUND(((B9+B6)-((B9+B6)*(Settings!$F$6+IF(Settings!$B$3="Domestic buyer",Settings!$F$7,Settings!$F$9)+IF(Settings!$F$11="",0,Settings!$F$11))+IF(Settings!$B$3="Domestic buyer",Settings!$F$8,Settings!$F$10)+Settings!$F$15*Settings!$F$19*B7)*(1+IF(Settings!$F$12="",0,Settings!$F$12))-B4-B5)/(B9+B6),4)))</f>
      </c>
    </row>
    <row r="12" spans="1:6" x14ac:dyDescent="0.25">
      <c r="A12" s="12" t="s">
        <v>121</v>
      </c>
      <c r="B12" s="12"/>
      <c r="C12" s="12"/>
      <c r="D12" s="12"/>
      <c r="E12" s="12"/>
      <c r="F12" s="12"/>
    </row>
    <row r="14" ht="22" customHeight="1" spans="1:8" s="27" customFormat="1" x14ac:dyDescent="0.25">
      <c r="A14" s="28" t="s">
        <v>122</v>
      </c>
      <c r="B14" s="28" t="s">
        <v>123</v>
      </c>
      <c r="C14" s="28" t="s">
        <v>124</v>
      </c>
      <c r="D14" s="28" t="s">
        <v>125</v>
      </c>
      <c r="E14" s="28" t="s">
        <v>126</v>
      </c>
      <c r="F14" s="28" t="s">
        <v>103</v>
      </c>
      <c r="G14" s="28" t="s">
        <v>127</v>
      </c>
      <c r="H14" s="28" t="s">
        <v>128</v>
      </c>
    </row>
    <row r="15" spans="1:8" x14ac:dyDescent="0.25">
      <c r="A15" s="46">
        <v>1</v>
      </c>
      <c r="B15" s="48">
        <v>0</v>
      </c>
      <c r="C15" s="48">
        <v>5000</v>
      </c>
      <c r="D15" s="21">
        <f>ROUND((B15+C15)/2,2)</f>
      </c>
      <c r="E15" s="48">
        <f>D15+$B$6</f>
      </c>
      <c r="F15" s="48">
        <f>ROUND((E15*(Settings!$F$6+IF(Settings!$B$3="Domestic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15" s="48">
        <f>ROUND(E15-F15-$B$4-$B$5,2)</f>
      </c>
      <c r="H15" s="53">
        <f>IF($B$2="Target profit",G15-$B$3,IF(E15=0,0,G15/E15-$B$3/100))</f>
      </c>
    </row>
    <row r="16" spans="1:8" x14ac:dyDescent="0.25">
      <c r="A16" s="46">
        <v>2</v>
      </c>
      <c r="B16" s="48">
        <f>IF(H15&lt;0,D15,B15)</f>
      </c>
      <c r="C16" s="48">
        <f>IF(H15&lt;0,C15,D15)</f>
      </c>
      <c r="D16" s="21">
        <f>ROUND((B16+C16)/2,2)</f>
      </c>
      <c r="E16" s="48">
        <f>D16+$B$6</f>
      </c>
      <c r="F16" s="48">
        <f>ROUND((E16*(Settings!$F$6+IF(Settings!$B$3="Domestic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16" s="48">
        <f>ROUND(E16-F16-$B$4-$B$5,2)</f>
      </c>
      <c r="H16" s="53">
        <f>IF($B$2="Target profit",G16-$B$3,IF(E16=0,0,G16/E16-$B$3/100))</f>
      </c>
    </row>
    <row r="17" spans="1:8" x14ac:dyDescent="0.25">
      <c r="A17" s="46">
        <v>3</v>
      </c>
      <c r="B17" s="48">
        <f>IF(H16&lt;0,D16,B16)</f>
      </c>
      <c r="C17" s="48">
        <f>IF(H16&lt;0,C16,D16)</f>
      </c>
      <c r="D17" s="21">
        <f>ROUND((B17+C17)/2,2)</f>
      </c>
      <c r="E17" s="48">
        <f>D17+$B$6</f>
      </c>
      <c r="F17" s="48">
        <f>ROUND((E17*(Settings!$F$6+IF(Settings!$B$3="Domestic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17" s="48">
        <f>ROUND(E17-F17-$B$4-$B$5,2)</f>
      </c>
      <c r="H17" s="53">
        <f>IF($B$2="Target profit",G17-$B$3,IF(E17=0,0,G17/E17-$B$3/100))</f>
      </c>
    </row>
    <row r="18" spans="1:8" x14ac:dyDescent="0.25">
      <c r="A18" s="46">
        <v>4</v>
      </c>
      <c r="B18" s="48">
        <f>IF(H17&lt;0,D17,B17)</f>
      </c>
      <c r="C18" s="48">
        <f>IF(H17&lt;0,C17,D17)</f>
      </c>
      <c r="D18" s="21">
        <f>ROUND((B18+C18)/2,2)</f>
      </c>
      <c r="E18" s="48">
        <f>D18+$B$6</f>
      </c>
      <c r="F18" s="48">
        <f>ROUND((E18*(Settings!$F$6+IF(Settings!$B$3="Domestic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18" s="48">
        <f>ROUND(E18-F18-$B$4-$B$5,2)</f>
      </c>
      <c r="H18" s="53">
        <f>IF($B$2="Target profit",G18-$B$3,IF(E18=0,0,G18/E18-$B$3/100))</f>
      </c>
    </row>
    <row r="19" spans="1:8" x14ac:dyDescent="0.25">
      <c r="A19" s="46">
        <v>5</v>
      </c>
      <c r="B19" s="48">
        <f>IF(H18&lt;0,D18,B18)</f>
      </c>
      <c r="C19" s="48">
        <f>IF(H18&lt;0,C18,D18)</f>
      </c>
      <c r="D19" s="21">
        <f>ROUND((B19+C19)/2,2)</f>
      </c>
      <c r="E19" s="48">
        <f>D19+$B$6</f>
      </c>
      <c r="F19" s="48">
        <f>ROUND((E19*(Settings!$F$6+IF(Settings!$B$3="Domestic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19" s="48">
        <f>ROUND(E19-F19-$B$4-$B$5,2)</f>
      </c>
      <c r="H19" s="53">
        <f>IF($B$2="Target profit",G19-$B$3,IF(E19=0,0,G19/E19-$B$3/100))</f>
      </c>
    </row>
    <row r="20" spans="1:8" x14ac:dyDescent="0.25">
      <c r="A20" s="46">
        <v>6</v>
      </c>
      <c r="B20" s="48">
        <f>IF(H19&lt;0,D19,B19)</f>
      </c>
      <c r="C20" s="48">
        <f>IF(H19&lt;0,C19,D19)</f>
      </c>
      <c r="D20" s="21">
        <f>ROUND((B20+C20)/2,2)</f>
      </c>
      <c r="E20" s="48">
        <f>D20+$B$6</f>
      </c>
      <c r="F20" s="48">
        <f>ROUND((E20*(Settings!$F$6+IF(Settings!$B$3="Domestic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0" s="48">
        <f>ROUND(E20-F20-$B$4-$B$5,2)</f>
      </c>
      <c r="H20" s="53">
        <f>IF($B$2="Target profit",G20-$B$3,IF(E20=0,0,G20/E20-$B$3/100))</f>
      </c>
    </row>
    <row r="21" spans="1:8" x14ac:dyDescent="0.25">
      <c r="A21" s="46">
        <v>7</v>
      </c>
      <c r="B21" s="48">
        <f>IF(H20&lt;0,D20,B20)</f>
      </c>
      <c r="C21" s="48">
        <f>IF(H20&lt;0,C20,D20)</f>
      </c>
      <c r="D21" s="21">
        <f>ROUND((B21+C21)/2,2)</f>
      </c>
      <c r="E21" s="48">
        <f>D21+$B$6</f>
      </c>
      <c r="F21" s="48">
        <f>ROUND((E21*(Settings!$F$6+IF(Settings!$B$3="Domestic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1" s="48">
        <f>ROUND(E21-F21-$B$4-$B$5,2)</f>
      </c>
      <c r="H21" s="53">
        <f>IF($B$2="Target profit",G21-$B$3,IF(E21=0,0,G21/E21-$B$3/100))</f>
      </c>
    </row>
    <row r="22" spans="1:8" x14ac:dyDescent="0.25">
      <c r="A22" s="46">
        <v>8</v>
      </c>
      <c r="B22" s="48">
        <f>IF(H21&lt;0,D21,B21)</f>
      </c>
      <c r="C22" s="48">
        <f>IF(H21&lt;0,C21,D21)</f>
      </c>
      <c r="D22" s="21">
        <f>ROUND((B22+C22)/2,2)</f>
      </c>
      <c r="E22" s="48">
        <f>D22+$B$6</f>
      </c>
      <c r="F22" s="48">
        <f>ROUND((E22*(Settings!$F$6+IF(Settings!$B$3="Domestic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2" s="48">
        <f>ROUND(E22-F22-$B$4-$B$5,2)</f>
      </c>
      <c r="H22" s="53">
        <f>IF($B$2="Target profit",G22-$B$3,IF(E22=0,0,G22/E22-$B$3/100))</f>
      </c>
    </row>
    <row r="23" spans="1:8" x14ac:dyDescent="0.25">
      <c r="A23" s="46">
        <v>9</v>
      </c>
      <c r="B23" s="48">
        <f>IF(H22&lt;0,D22,B22)</f>
      </c>
      <c r="C23" s="48">
        <f>IF(H22&lt;0,C22,D22)</f>
      </c>
      <c r="D23" s="21">
        <f>ROUND((B23+C23)/2,2)</f>
      </c>
      <c r="E23" s="48">
        <f>D23+$B$6</f>
      </c>
      <c r="F23" s="48">
        <f>ROUND((E23*(Settings!$F$6+IF(Settings!$B$3="Domestic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3" s="48">
        <f>ROUND(E23-F23-$B$4-$B$5,2)</f>
      </c>
      <c r="H23" s="53">
        <f>IF($B$2="Target profit",G23-$B$3,IF(E23=0,0,G23/E23-$B$3/100))</f>
      </c>
    </row>
    <row r="24" spans="1:8" x14ac:dyDescent="0.25">
      <c r="A24" s="46">
        <v>10</v>
      </c>
      <c r="B24" s="48">
        <f>IF(H23&lt;0,D23,B23)</f>
      </c>
      <c r="C24" s="48">
        <f>IF(H23&lt;0,C23,D23)</f>
      </c>
      <c r="D24" s="21">
        <f>ROUND((B24+C24)/2,2)</f>
      </c>
      <c r="E24" s="48">
        <f>D24+$B$6</f>
      </c>
      <c r="F24" s="48">
        <f>ROUND((E24*(Settings!$F$6+IF(Settings!$B$3="Domestic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4" s="48">
        <f>ROUND(E24-F24-$B$4-$B$5,2)</f>
      </c>
      <c r="H24" s="53">
        <f>IF($B$2="Target profit",G24-$B$3,IF(E24=0,0,G24/E24-$B$3/100))</f>
      </c>
    </row>
    <row r="25" spans="1:8" x14ac:dyDescent="0.25">
      <c r="A25" s="46">
        <v>11</v>
      </c>
      <c r="B25" s="48">
        <f>IF(H24&lt;0,D24,B24)</f>
      </c>
      <c r="C25" s="48">
        <f>IF(H24&lt;0,C24,D24)</f>
      </c>
      <c r="D25" s="21">
        <f>ROUND((B25+C25)/2,2)</f>
      </c>
      <c r="E25" s="48">
        <f>D25+$B$6</f>
      </c>
      <c r="F25" s="48">
        <f>ROUND((E25*(Settings!$F$6+IF(Settings!$B$3="Domestic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5" s="48">
        <f>ROUND(E25-F25-$B$4-$B$5,2)</f>
      </c>
      <c r="H25" s="53">
        <f>IF($B$2="Target profit",G25-$B$3,IF(E25=0,0,G25/E25-$B$3/100))</f>
      </c>
    </row>
    <row r="26" spans="1:8" x14ac:dyDescent="0.25">
      <c r="A26" s="46">
        <v>12</v>
      </c>
      <c r="B26" s="48">
        <f>IF(H25&lt;0,D25,B25)</f>
      </c>
      <c r="C26" s="48">
        <f>IF(H25&lt;0,C25,D25)</f>
      </c>
      <c r="D26" s="21">
        <f>ROUND((B26+C26)/2,2)</f>
      </c>
      <c r="E26" s="48">
        <f>D26+$B$6</f>
      </c>
      <c r="F26" s="48">
        <f>ROUND((E26*(Settings!$F$6+IF(Settings!$B$3="Domestic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6" s="48">
        <f>ROUND(E26-F26-$B$4-$B$5,2)</f>
      </c>
      <c r="H26" s="53">
        <f>IF($B$2="Target profit",G26-$B$3,IF(E26=0,0,G26/E26-$B$3/100))</f>
      </c>
    </row>
    <row r="27" spans="1:8" x14ac:dyDescent="0.25">
      <c r="A27" s="46">
        <v>13</v>
      </c>
      <c r="B27" s="48">
        <f>IF(H26&lt;0,D26,B26)</f>
      </c>
      <c r="C27" s="48">
        <f>IF(H26&lt;0,C26,D26)</f>
      </c>
      <c r="D27" s="21">
        <f>ROUND((B27+C27)/2,2)</f>
      </c>
      <c r="E27" s="48">
        <f>D27+$B$6</f>
      </c>
      <c r="F27" s="48">
        <f>ROUND((E27*(Settings!$F$6+IF(Settings!$B$3="Domestic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7" s="48">
        <f>ROUND(E27-F27-$B$4-$B$5,2)</f>
      </c>
      <c r="H27" s="53">
        <f>IF($B$2="Target profit",G27-$B$3,IF(E27=0,0,G27/E27-$B$3/100))</f>
      </c>
    </row>
    <row r="28" spans="1:8" x14ac:dyDescent="0.25">
      <c r="A28" s="46">
        <v>14</v>
      </c>
      <c r="B28" s="48">
        <f>IF(H27&lt;0,D27,B27)</f>
      </c>
      <c r="C28" s="48">
        <f>IF(H27&lt;0,C27,D27)</f>
      </c>
      <c r="D28" s="21">
        <f>ROUND((B28+C28)/2,2)</f>
      </c>
      <c r="E28" s="48">
        <f>D28+$B$6</f>
      </c>
      <c r="F28" s="48">
        <f>ROUND((E28*(Settings!$F$6+IF(Settings!$B$3="Domestic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8" s="48">
        <f>ROUND(E28-F28-$B$4-$B$5,2)</f>
      </c>
      <c r="H28" s="53">
        <f>IF($B$2="Target profit",G28-$B$3,IF(E28=0,0,G28/E28-$B$3/100))</f>
      </c>
    </row>
    <row r="29" spans="1:8" x14ac:dyDescent="0.25">
      <c r="A29" s="46">
        <v>15</v>
      </c>
      <c r="B29" s="48">
        <f>IF(H28&lt;0,D28,B28)</f>
      </c>
      <c r="C29" s="48">
        <f>IF(H28&lt;0,C28,D28)</f>
      </c>
      <c r="D29" s="21">
        <f>ROUND((B29+C29)/2,2)</f>
      </c>
      <c r="E29" s="48">
        <f>D29+$B$6</f>
      </c>
      <c r="F29" s="48">
        <f>ROUND((E29*(Settings!$F$6+IF(Settings!$B$3="Domestic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29" s="48">
        <f>ROUND(E29-F29-$B$4-$B$5,2)</f>
      </c>
      <c r="H29" s="53">
        <f>IF($B$2="Target profit",G29-$B$3,IF(E29=0,0,G29/E29-$B$3/100))</f>
      </c>
    </row>
    <row r="30" spans="1:8" x14ac:dyDescent="0.25">
      <c r="A30" s="46">
        <v>16</v>
      </c>
      <c r="B30" s="48">
        <f>IF(H29&lt;0,D29,B29)</f>
      </c>
      <c r="C30" s="48">
        <f>IF(H29&lt;0,C29,D29)</f>
      </c>
      <c r="D30" s="21">
        <f>ROUND((B30+C30)/2,2)</f>
      </c>
      <c r="E30" s="48">
        <f>D30+$B$6</f>
      </c>
      <c r="F30" s="48">
        <f>ROUND((E30*(Settings!$F$6+IF(Settings!$B$3="Domestic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30" s="48">
        <f>ROUND(E30-F30-$B$4-$B$5,2)</f>
      </c>
      <c r="H30" s="53">
        <f>IF($B$2="Target profit",G30-$B$3,IF(E30=0,0,G30/E30-$B$3/100))</f>
      </c>
    </row>
    <row r="31" spans="1:8" x14ac:dyDescent="0.25">
      <c r="A31" s="46">
        <v>17</v>
      </c>
      <c r="B31" s="48">
        <f>IF(H30&lt;0,D30,B30)</f>
      </c>
      <c r="C31" s="48">
        <f>IF(H30&lt;0,C30,D30)</f>
      </c>
      <c r="D31" s="21">
        <f>ROUND((B31+C31)/2,2)</f>
      </c>
      <c r="E31" s="48">
        <f>D31+$B$6</f>
      </c>
      <c r="F31" s="48">
        <f>ROUND((E31*(Settings!$F$6+IF(Settings!$B$3="Domestic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31" s="48">
        <f>ROUND(E31-F31-$B$4-$B$5,2)</f>
      </c>
      <c r="H31" s="53">
        <f>IF($B$2="Target profit",G31-$B$3,IF(E31=0,0,G31/E31-$B$3/100))</f>
      </c>
    </row>
    <row r="32" spans="1:8" x14ac:dyDescent="0.25">
      <c r="A32" s="46">
        <v>18</v>
      </c>
      <c r="B32" s="48">
        <f>IF(H31&lt;0,D31,B31)</f>
      </c>
      <c r="C32" s="48">
        <f>IF(H31&lt;0,C31,D31)</f>
      </c>
      <c r="D32" s="21">
        <f>ROUND((B32+C32)/2,2)</f>
      </c>
      <c r="E32" s="48">
        <f>D32+$B$6</f>
      </c>
      <c r="F32" s="48">
        <f>ROUND((E32*(Settings!$F$6+IF(Settings!$B$3="Domestic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32" s="48">
        <f>ROUND(E32-F32-$B$4-$B$5,2)</f>
      </c>
      <c r="H32" s="53">
        <f>IF($B$2="Target profit",G32-$B$3,IF(E32=0,0,G32/E32-$B$3/100))</f>
      </c>
    </row>
    <row r="33" spans="1:8" x14ac:dyDescent="0.25">
      <c r="A33" s="46">
        <v>19</v>
      </c>
      <c r="B33" s="48">
        <f>IF(H32&lt;0,D32,B32)</f>
      </c>
      <c r="C33" s="48">
        <f>IF(H32&lt;0,C32,D32)</f>
      </c>
      <c r="D33" s="21">
        <f>ROUND((B33+C33)/2,2)</f>
      </c>
      <c r="E33" s="48">
        <f>D33+$B$6</f>
      </c>
      <c r="F33" s="48">
        <f>ROUND((E33*(Settings!$F$6+IF(Settings!$B$3="Domestic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33" s="48">
        <f>ROUND(E33-F33-$B$4-$B$5,2)</f>
      </c>
      <c r="H33" s="53">
        <f>IF($B$2="Target profit",G33-$B$3,IF(E33=0,0,G33/E33-$B$3/100))</f>
      </c>
    </row>
    <row r="34" spans="1:8" x14ac:dyDescent="0.25">
      <c r="A34" s="46">
        <v>20</v>
      </c>
      <c r="B34" s="48">
        <f>IF(H33&lt;0,D33,B33)</f>
      </c>
      <c r="C34" s="48">
        <f>IF(H33&lt;0,C33,D33)</f>
      </c>
      <c r="D34" s="21">
        <f>ROUND((B34+C34)/2,2)</f>
      </c>
      <c r="E34" s="48">
        <f>D34+$B$6</f>
      </c>
      <c r="F34" s="48">
        <f>ROUND((E34*(Settings!$F$6+IF(Settings!$B$3="Domestic buyer",Settings!$F$7,Settings!$F$9)+IF(Settings!$F$11="",0,Settings!$F$11))+IF(Settings!$B$3="Domestic buyer",Settings!$F$8,Settings!$F$10)+Settings!$F$15*Settings!$F$19*$B$7)*(1+IF(Settings!$F$12="",0,Settings!$F$12)),2)</f>
      </c>
      <c r="G34" s="48">
        <f>ROUND(E34-F34-$B$4-$B$5,2)</f>
      </c>
      <c r="H34" s="53">
        <f>IF($B$2="Target profit",G34-$B$3,IF(E34=0,0,G34/E34-$B$3/100))</f>
      </c>
    </row>
    <row r="37" spans="4:4" x14ac:dyDescent="0.25">
      <c r="D37" s="54">
        <f>IF(ABS(B9-D34)&lt;=0.01,"✓ table matches B9 within $0.01","Check")</f>
      </c>
    </row>
  </sheetData>
  <mergeCells count="3">
    <mergeCell ref="A1:F1"/>
    <mergeCell ref="A8:F8"/>
    <mergeCell ref="A12:F12"/>
  </mergeCells>
  <dataValidations count="1">
    <dataValidation type="list" sqref="B2">
      <formula1>"Target profit,Target margin"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B6F6"/>
  </sheetPr>
  <dimension ref="A1:C25"/>
  <sheetFormatPr defaultRowHeight="15" outlineLevelRow="0" outlineLevelCol="0" x14ac:dyDescent="55"/>
  <cols>
    <col min="1" max="1" width="28" customWidth="1"/>
    <col min="2" max="2" width="20" customWidth="1"/>
    <col min="3" max="3" width="18" customWidth="1"/>
  </cols>
  <sheetData>
    <row r="1" ht="24" customHeight="1" spans="1:3" x14ac:dyDescent="0.25">
      <c r="A1" s="8" t="s">
        <v>129</v>
      </c>
      <c r="B1" s="8"/>
      <c r="C1" s="8"/>
    </row>
    <row r="3" spans="1:1" x14ac:dyDescent="0.25">
      <c r="A3" s="55" t="s">
        <v>130</v>
      </c>
    </row>
    <row r="4" ht="18" customHeight="1" spans="1:2" x14ac:dyDescent="0.25">
      <c r="A4" s="13" t="s">
        <v>131</v>
      </c>
      <c r="B4" s="56">
        <f>SUM('Fee Calculator'!S2:S51)</f>
      </c>
    </row>
    <row r="5" ht="18" customHeight="1" spans="1:2" x14ac:dyDescent="0.25">
      <c r="A5" s="13" t="s">
        <v>132</v>
      </c>
      <c r="B5" s="56">
        <f>SUM('Fee Calculator'!L2:L51)</f>
      </c>
    </row>
    <row r="6" ht="18" customHeight="1" spans="1:2" x14ac:dyDescent="0.25">
      <c r="A6" s="13" t="s">
        <v>133</v>
      </c>
      <c r="B6" s="56">
        <f>SUM('Fee Calculator'!M2:M51)</f>
      </c>
    </row>
    <row r="7" ht="18" customHeight="1" spans="1:2" x14ac:dyDescent="0.25">
      <c r="A7" s="13" t="s">
        <v>134</v>
      </c>
      <c r="B7" s="56">
        <f>SUM('Fee Calculator'!N2:N51)</f>
      </c>
    </row>
    <row r="8" ht="18" customHeight="1" spans="1:2" x14ac:dyDescent="0.25">
      <c r="A8" s="13" t="s">
        <v>135</v>
      </c>
      <c r="B8" s="56">
        <f>SUM('Fee Calculator'!O2:O51)</f>
      </c>
    </row>
    <row r="9" ht="18" customHeight="1" spans="1:2" x14ac:dyDescent="0.25">
      <c r="A9" s="13" t="s">
        <v>136</v>
      </c>
      <c r="B9" s="56">
        <f>SUM('Fee Calculator'!P2:P51)</f>
      </c>
    </row>
    <row r="10" ht="18" customHeight="1" spans="1:2" x14ac:dyDescent="0.25">
      <c r="A10" s="13" t="s">
        <v>137</v>
      </c>
      <c r="B10" s="56">
        <f>SUM('Fee Calculator'!Q2:Q51)</f>
      </c>
    </row>
    <row r="11" ht="18" customHeight="1" spans="1:2" x14ac:dyDescent="0.25">
      <c r="A11" s="13" t="s">
        <v>138</v>
      </c>
      <c r="B11" s="21">
        <f>SUM('Fee Calculator'!R2:R51)</f>
      </c>
    </row>
    <row r="12" ht="18" customHeight="1" spans="1:2" x14ac:dyDescent="0.25">
      <c r="A12" s="13" t="s">
        <v>139</v>
      </c>
      <c r="B12" s="21">
        <f>SUM('Fee Calculator'!T2:T51)</f>
      </c>
    </row>
    <row r="13" ht="18" customHeight="1" spans="1:2" x14ac:dyDescent="0.25">
      <c r="A13" s="13" t="s">
        <v>140</v>
      </c>
      <c r="B13" s="57">
        <f>IF(SUM('Fee Calculator'!S2:S51)=0,0,SUM('Fee Calculator'!T2:T51)/SUM('Fee Calculator'!S2:S51))</f>
      </c>
    </row>
    <row r="14" ht="18" customHeight="1" spans="1:2" x14ac:dyDescent="0.25">
      <c r="A14" s="13" t="s">
        <v>141</v>
      </c>
      <c r="B14" s="58">
        <f>COUNTA('Fee Calculator'!B2:B51)</f>
      </c>
    </row>
    <row r="16" spans="1:3" x14ac:dyDescent="0.25">
      <c r="A16" s="55" t="s">
        <v>142</v>
      </c>
      <c r="B16" s="55"/>
      <c r="C16" s="55"/>
    </row>
    <row r="17" spans="1:3" x14ac:dyDescent="0.25">
      <c r="A17" s="13" t="s">
        <v>143</v>
      </c>
      <c r="B17" s="59">
        <v>100</v>
      </c>
      <c r="C17" s="60" t="s">
        <v>144</v>
      </c>
    </row>
    <row r="18" spans="1:2" x14ac:dyDescent="0.25">
      <c r="A18" s="13" t="s">
        <v>145</v>
      </c>
      <c r="B18" s="48">
        <f>B17*IF(B14=0,0,B11/B14)</f>
      </c>
    </row>
    <row r="19" spans="1:2" x14ac:dyDescent="0.25">
      <c r="A19" s="13" t="s">
        <v>146</v>
      </c>
      <c r="B19" s="48">
        <f>B18*12</f>
      </c>
    </row>
    <row r="21" spans="1:3" x14ac:dyDescent="0.25">
      <c r="A21" s="55" t="s">
        <v>147</v>
      </c>
      <c r="B21" s="55"/>
      <c r="C21" s="55"/>
    </row>
    <row r="22" spans="1:2" x14ac:dyDescent="0.25">
      <c r="A22" s="13" t="s">
        <v>148</v>
      </c>
      <c r="B22" s="61">
        <f>IF(B14=0,"",INDEX('Fee Calculator'!B2:B51,MATCH(MIN('Fee Calculator'!U2:U51),'Fee Calculator'!U2:U51,0)))</f>
      </c>
    </row>
    <row r="23" spans="1:2" x14ac:dyDescent="0.25">
      <c r="A23" s="13" t="s">
        <v>149</v>
      </c>
      <c r="B23" s="50">
        <f>IF(B14=0,"",MIN('Fee Calculator'!U2:U51))</f>
      </c>
    </row>
    <row r="25" ht="28" customHeight="1" spans="1:3" x14ac:dyDescent="0.25">
      <c r="A25" s="26" t="s">
        <v>150</v>
      </c>
      <c r="B25" s="26"/>
      <c r="C25" s="26"/>
    </row>
  </sheetData>
  <mergeCells count="4">
    <mergeCell ref="A1:C1"/>
    <mergeCell ref="A16:C16"/>
    <mergeCell ref="A21:C21"/>
    <mergeCell ref="A25:C25"/>
  </mergeCells>
  <conditionalFormatting sqref="B23">
    <cfRule type="cellIs" dxfId="1" priority="1" operator="lessThan">
      <formula>0.2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Settings</vt:lpstr>
      <vt:lpstr>Rates</vt:lpstr>
      <vt:lpstr>Fee Calculator</vt:lpstr>
      <vt:lpstr>Reverse Pricing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etsyfeecalculatortool.com</dc:creator>
  <dc:title/>
  <dc:subject/>
  <dc:description/>
  <cp:keywords/>
  <cp:category/>
  <cp:lastModifiedBy>Unknown</cp:lastModifiedBy>
  <dcterms:created xsi:type="dcterms:W3CDTF">2026-08-27T10:13:59Z</dcterms:created>
  <dcterms:modified xsi:type="dcterms:W3CDTF">2026-08-27T10:13:59Z</dcterms:modified>
</cp:coreProperties>
</file>